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psignorello-my.sharepoint.com/personal/signorello_vpsignorello_onmicrosoft_com/Documents/STUDIO SIGNORELLO/FOGLI DI CALCOLO/"/>
    </mc:Choice>
  </mc:AlternateContent>
  <xr:revisionPtr revIDLastSave="14" documentId="13_ncr:1_{3EF6AF51-8E09-477B-97B5-BCCF14A94FF2}" xr6:coauthVersionLast="47" xr6:coauthVersionMax="47" xr10:uidLastSave="{B2680944-077D-4EF0-85D2-7A05D1064298}"/>
  <bookViews>
    <workbookView xWindow="-28920" yWindow="-120" windowWidth="29040" windowHeight="15720" xr2:uid="{0E7F1A5A-8BD6-46CC-8151-F9614BA4B9CA}"/>
  </bookViews>
  <sheets>
    <sheet name="ISTRUZIONI" sheetId="5" r:id="rId1"/>
    <sheet name="Dati" sheetId="1" r:id="rId2"/>
    <sheet name="STAMPA ISO" sheetId="4" r:id="rId3"/>
    <sheet name="STAMPA NIOSH" sheetId="6" r:id="rId4"/>
    <sheet name="Calcoli" sheetId="3" state="hidden" r:id="rId5"/>
    <sheet name="Liste" sheetId="2" state="hidden" r:id="rId6"/>
  </sheets>
  <definedNames>
    <definedName name="_xlnm.Print_Area" localSheetId="2">'STAMPA ISO'!$A$1:$E$60</definedName>
    <definedName name="durata">#REF!</definedName>
    <definedName name="PRESA">Liste!$C$4:$C$6</definedName>
    <definedName name="SN">Liste!$B$4:$B$5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6" l="1"/>
  <c r="C10" i="6"/>
  <c r="D10" i="6"/>
  <c r="B11" i="6"/>
  <c r="C11" i="6"/>
  <c r="D11" i="6"/>
  <c r="B12" i="6"/>
  <c r="C12" i="6"/>
  <c r="D12" i="6"/>
  <c r="D9" i="6"/>
  <c r="C9" i="6"/>
  <c r="B9" i="6"/>
  <c r="B4" i="6"/>
  <c r="B5" i="6"/>
  <c r="B6" i="6"/>
  <c r="B3" i="6"/>
  <c r="O13" i="1"/>
  <c r="P13" i="1"/>
  <c r="Q13" i="1"/>
  <c r="O14" i="1"/>
  <c r="P14" i="1"/>
  <c r="Q14" i="1"/>
  <c r="O15" i="1"/>
  <c r="P15" i="1"/>
  <c r="Q15" i="1"/>
  <c r="Q12" i="1"/>
  <c r="P12" i="1"/>
  <c r="O12" i="1"/>
  <c r="O7" i="1"/>
  <c r="O8" i="1"/>
  <c r="O9" i="1"/>
  <c r="O6" i="1"/>
  <c r="B2" i="4" l="1"/>
  <c r="B3" i="4"/>
  <c r="B1" i="4"/>
  <c r="Q35" i="3" l="1"/>
  <c r="Q36" i="3"/>
  <c r="Q37" i="3"/>
  <c r="Q38" i="3"/>
  <c r="Q39" i="3"/>
  <c r="Q34" i="3"/>
  <c r="Q32" i="3"/>
  <c r="Q33" i="3"/>
  <c r="Q31" i="3"/>
  <c r="P32" i="3"/>
  <c r="P33" i="3"/>
  <c r="P34" i="3"/>
  <c r="P35" i="3"/>
  <c r="P36" i="3"/>
  <c r="P37" i="3"/>
  <c r="P38" i="3"/>
  <c r="P39" i="3"/>
  <c r="P31" i="3"/>
  <c r="D32" i="3" l="1"/>
  <c r="J34" i="1" s="1"/>
  <c r="AA8" i="3"/>
  <c r="C34" i="4" l="1"/>
  <c r="W24" i="3"/>
  <c r="X24" i="3"/>
  <c r="V24" i="3"/>
  <c r="Z6" i="3"/>
  <c r="AA6" i="3"/>
  <c r="AD3" i="3" s="1"/>
  <c r="Z7" i="3"/>
  <c r="AA7" i="3"/>
  <c r="AD4" i="3" s="1"/>
  <c r="Z8" i="3"/>
  <c r="Z9" i="3"/>
  <c r="AA9" i="3"/>
  <c r="AA19" i="3" s="1"/>
  <c r="AD6" i="3" s="1"/>
  <c r="Z10" i="3"/>
  <c r="AA10" i="3"/>
  <c r="AD5" i="3" s="1"/>
  <c r="Z11" i="3"/>
  <c r="AA11" i="3"/>
  <c r="Z12" i="3"/>
  <c r="AA12" i="3"/>
  <c r="AH8" i="3" s="1"/>
  <c r="Z13" i="3"/>
  <c r="AA13" i="3"/>
  <c r="AH9" i="3" s="1"/>
  <c r="Z14" i="3"/>
  <c r="AA14" i="3"/>
  <c r="AH10" i="3" s="1"/>
  <c r="Z15" i="3"/>
  <c r="AA15" i="3"/>
  <c r="Z16" i="3"/>
  <c r="AA16" i="3"/>
  <c r="AJ22" i="3" s="1"/>
  <c r="Z17" i="3"/>
  <c r="AA17" i="3"/>
  <c r="AA5" i="3"/>
  <c r="Z5" i="3"/>
  <c r="I12" i="3" l="1"/>
  <c r="I10" i="3"/>
  <c r="I11" i="3"/>
  <c r="I13" i="3"/>
  <c r="AD2" i="3"/>
  <c r="AD7" i="3"/>
  <c r="AH7" i="3"/>
  <c r="AH6" i="3"/>
  <c r="AJ15" i="3"/>
  <c r="AJ16" i="3"/>
  <c r="AJ17" i="3"/>
  <c r="AJ18" i="3"/>
  <c r="AJ19" i="3"/>
  <c r="AJ20" i="3"/>
  <c r="AJ14" i="3"/>
  <c r="E10" i="3"/>
  <c r="D12" i="4" s="1"/>
  <c r="E8" i="3"/>
  <c r="D10" i="4" s="1"/>
  <c r="E9" i="3"/>
  <c r="D11" i="4" s="1"/>
  <c r="E7" i="3"/>
  <c r="Q14" i="3"/>
  <c r="Q15" i="3"/>
  <c r="AH13" i="3"/>
  <c r="AH14" i="3"/>
  <c r="Q22" i="3"/>
  <c r="AH5" i="3"/>
  <c r="Q21" i="3"/>
  <c r="AH4" i="3"/>
  <c r="AH2" i="3"/>
  <c r="Q19" i="3"/>
  <c r="Q20" i="3"/>
  <c r="AH3" i="3"/>
  <c r="Q25" i="3"/>
  <c r="Q27" i="3"/>
  <c r="Q24" i="3"/>
  <c r="Q26" i="3"/>
  <c r="T24" i="3"/>
  <c r="S24" i="3"/>
  <c r="T23" i="3"/>
  <c r="U23" i="3"/>
  <c r="X23" i="3" s="1"/>
  <c r="X25" i="3" s="1"/>
  <c r="S23" i="3"/>
  <c r="Q11" i="3"/>
  <c r="P5" i="3"/>
  <c r="E16" i="3" s="1"/>
  <c r="P6" i="3"/>
  <c r="P8" i="3"/>
  <c r="P7" i="3"/>
  <c r="Q12" i="3"/>
  <c r="P3" i="3"/>
  <c r="E14" i="3" s="1"/>
  <c r="P4" i="3"/>
  <c r="E15" i="3" s="1"/>
  <c r="C4" i="3"/>
  <c r="I5" i="3" l="1"/>
  <c r="I6" i="3"/>
  <c r="I7" i="3"/>
  <c r="I4" i="3"/>
  <c r="K18" i="1"/>
  <c r="E18" i="4"/>
  <c r="K9" i="1"/>
  <c r="D9" i="4"/>
  <c r="K16" i="1"/>
  <c r="E16" i="4"/>
  <c r="D52" i="3"/>
  <c r="E17" i="4"/>
  <c r="K17" i="1"/>
  <c r="F7" i="3"/>
  <c r="F9" i="3"/>
  <c r="K11" i="1"/>
  <c r="F8" i="3"/>
  <c r="K10" i="1"/>
  <c r="F10" i="3"/>
  <c r="K12" i="1"/>
  <c r="AH20" i="3"/>
  <c r="D58" i="3" s="1"/>
  <c r="AH19" i="3"/>
  <c r="D57" i="3" s="1"/>
  <c r="AH16" i="3"/>
  <c r="D54" i="3" s="1"/>
  <c r="AH18" i="3"/>
  <c r="D56" i="3" s="1"/>
  <c r="AH17" i="3"/>
  <c r="D55" i="3" s="1"/>
  <c r="AH15" i="3"/>
  <c r="D53" i="3" s="1"/>
  <c r="E36" i="3"/>
  <c r="D38" i="4" s="1"/>
  <c r="E37" i="3"/>
  <c r="D39" i="4" s="1"/>
  <c r="E38" i="3"/>
  <c r="D40" i="4" s="1"/>
  <c r="E35" i="3"/>
  <c r="D37" i="4" s="1"/>
  <c r="V23" i="3"/>
  <c r="V25" i="3" s="1"/>
  <c r="W23" i="3"/>
  <c r="W25" i="3" s="1"/>
  <c r="Q13" i="3"/>
  <c r="E20" i="3" s="1"/>
  <c r="Q6" i="3"/>
  <c r="E17" i="3" s="1"/>
  <c r="K10" i="3" l="1"/>
  <c r="J10" i="3"/>
  <c r="J13" i="3"/>
  <c r="K13" i="3"/>
  <c r="J12" i="3"/>
  <c r="K12" i="3"/>
  <c r="J11" i="3"/>
  <c r="K11" i="3"/>
  <c r="K19" i="1"/>
  <c r="E19" i="4"/>
  <c r="K22" i="1"/>
  <c r="D22" i="4"/>
  <c r="J57" i="1"/>
  <c r="C57" i="4"/>
  <c r="L10" i="1"/>
  <c r="E10" i="4"/>
  <c r="L12" i="1"/>
  <c r="E12" i="4"/>
  <c r="J55" i="1"/>
  <c r="C55" i="4"/>
  <c r="J58" i="1"/>
  <c r="C58" i="4"/>
  <c r="J60" i="1"/>
  <c r="C60" i="4"/>
  <c r="J54" i="1"/>
  <c r="C54" i="4"/>
  <c r="J56" i="1"/>
  <c r="C56" i="4"/>
  <c r="L11" i="1"/>
  <c r="E11" i="4"/>
  <c r="J59" i="1"/>
  <c r="C59" i="4"/>
  <c r="L9" i="1"/>
  <c r="E9" i="4"/>
  <c r="E42" i="3"/>
  <c r="K40" i="1"/>
  <c r="E41" i="3"/>
  <c r="K39" i="1"/>
  <c r="E40" i="3"/>
  <c r="K38" i="1"/>
  <c r="E39" i="3"/>
  <c r="K37" i="1"/>
  <c r="Q23" i="3"/>
  <c r="C23" i="3"/>
  <c r="F40" i="3" l="1"/>
  <c r="E42" i="4" s="1"/>
  <c r="D42" i="4"/>
  <c r="K43" i="1"/>
  <c r="D43" i="4"/>
  <c r="E44" i="3"/>
  <c r="I25" i="1"/>
  <c r="B25" i="4"/>
  <c r="K42" i="1"/>
  <c r="E46" i="3"/>
  <c r="D44" i="4"/>
  <c r="E43" i="3"/>
  <c r="K45" i="1" s="1"/>
  <c r="D41" i="4"/>
  <c r="K41" i="1"/>
  <c r="F39" i="3"/>
  <c r="E45" i="3"/>
  <c r="K44" i="1"/>
  <c r="F42" i="3"/>
  <c r="F41" i="3"/>
  <c r="D29" i="3"/>
  <c r="C31" i="4" s="1"/>
  <c r="D28" i="3"/>
  <c r="C30" i="4" s="1"/>
  <c r="D27" i="3"/>
  <c r="C29" i="4" s="1"/>
  <c r="D26" i="3"/>
  <c r="C28" i="4" s="1"/>
  <c r="L42" i="1" l="1"/>
  <c r="K47" i="1"/>
  <c r="D47" i="4"/>
  <c r="F43" i="3"/>
  <c r="E41" i="4"/>
  <c r="F44" i="3"/>
  <c r="L44" i="1"/>
  <c r="E44" i="4"/>
  <c r="F46" i="3"/>
  <c r="K46" i="1"/>
  <c r="D46" i="4"/>
  <c r="D49" i="3"/>
  <c r="D45" i="4"/>
  <c r="F45" i="3"/>
  <c r="E43" i="4"/>
  <c r="K48" i="1"/>
  <c r="D48" i="4"/>
  <c r="L41" i="1"/>
  <c r="L43" i="1"/>
  <c r="E27" i="3"/>
  <c r="J29" i="1"/>
  <c r="E28" i="3"/>
  <c r="J30" i="1"/>
  <c r="E26" i="3"/>
  <c r="J28" i="1"/>
  <c r="E29" i="3"/>
  <c r="J31" i="1"/>
  <c r="K28" i="1" l="1"/>
  <c r="D28" i="4"/>
  <c r="K30" i="1"/>
  <c r="D30" i="4"/>
  <c r="L46" i="1"/>
  <c r="E46" i="4"/>
  <c r="L48" i="1"/>
  <c r="E48" i="4"/>
  <c r="L47" i="1"/>
  <c r="E47" i="4"/>
  <c r="K29" i="1"/>
  <c r="D29" i="4"/>
  <c r="C51" i="4"/>
  <c r="J51" i="1"/>
  <c r="L45" i="1"/>
  <c r="E45" i="4"/>
  <c r="K31" i="1"/>
  <c r="D31" i="4"/>
</calcChain>
</file>

<file path=xl/sharedStrings.xml><?xml version="1.0" encoding="utf-8"?>
<sst xmlns="http://schemas.openxmlformats.org/spreadsheetml/2006/main" count="441" uniqueCount="233">
  <si>
    <t>v</t>
  </si>
  <si>
    <t>d</t>
  </si>
  <si>
    <t>h</t>
  </si>
  <si>
    <t>distanza orizzontale misurata dal punto medio della linea che unisce le caviglie al baricentro dell'oggetto afferrato</t>
  </si>
  <si>
    <t>m</t>
  </si>
  <si>
    <t>posizione verticale determinata misurando la distanza dal pavimento al punto nel quale le mani afferrano l'oggetto</t>
  </si>
  <si>
    <t>spostamento verticale dall'origine alla destinazione del sollevamento</t>
  </si>
  <si>
    <t>frequenza del sollevamento media al minuto</t>
  </si>
  <si>
    <t>atti/min</t>
  </si>
  <si>
    <t>f</t>
  </si>
  <si>
    <t>durata del sollevamento</t>
  </si>
  <si>
    <t>min</t>
  </si>
  <si>
    <t>D</t>
  </si>
  <si>
    <t>angolo di asimmetria</t>
  </si>
  <si>
    <t>α</t>
  </si>
  <si>
    <t>gradi</t>
  </si>
  <si>
    <t>qualità della presa</t>
  </si>
  <si>
    <t>c</t>
  </si>
  <si>
    <t>operazione a una mano</t>
  </si>
  <si>
    <t>o</t>
  </si>
  <si>
    <t>operazione a due persone</t>
  </si>
  <si>
    <t>p</t>
  </si>
  <si>
    <t>tempo esteso (più di 8 ore) di movimentazione manuale</t>
  </si>
  <si>
    <t>e</t>
  </si>
  <si>
    <t>ore</t>
  </si>
  <si>
    <t>SI</t>
  </si>
  <si>
    <t>NO</t>
  </si>
  <si>
    <t>SN</t>
  </si>
  <si>
    <t>PRESA</t>
  </si>
  <si>
    <t>Buona</t>
  </si>
  <si>
    <t>Sufficiente</t>
  </si>
  <si>
    <t>Scarsa</t>
  </si>
  <si>
    <t>P</t>
  </si>
  <si>
    <t>Peso sollevato</t>
  </si>
  <si>
    <t>Kg</t>
  </si>
  <si>
    <t>dist</t>
  </si>
  <si>
    <t>Distanza da percorrere con il carico</t>
  </si>
  <si>
    <t>Mansione:</t>
  </si>
  <si>
    <t>INSERIMENTO DATI</t>
  </si>
  <si>
    <t>Azienda:</t>
  </si>
  <si>
    <t>Scegli</t>
  </si>
  <si>
    <t>Verifica preliminare:</t>
  </si>
  <si>
    <t>FASE 1</t>
  </si>
  <si>
    <t>Il peso sollevato deve essere inferiore al peso limite</t>
  </si>
  <si>
    <t>Uomini adulti</t>
  </si>
  <si>
    <t>Uomini giov/ans</t>
  </si>
  <si>
    <t>Donne adulte</t>
  </si>
  <si>
    <t>Donne giov/ans</t>
  </si>
  <si>
    <r>
      <t>m&lt;=m</t>
    </r>
    <r>
      <rPr>
        <vertAlign val="subscript"/>
        <sz val="11"/>
        <color theme="1"/>
        <rFont val="Calibri"/>
        <family val="2"/>
        <scheme val="minor"/>
      </rPr>
      <t>ref</t>
    </r>
  </si>
  <si>
    <t>VERIFICA</t>
  </si>
  <si>
    <t>VERIFICATA</t>
  </si>
  <si>
    <t>NON VERIFICATA</t>
  </si>
  <si>
    <t>ACCETTABILE</t>
  </si>
  <si>
    <t>ACCETTABILE. Valutazione conclusa.</t>
  </si>
  <si>
    <t>Continuare la valutazione con il prospetto 3.</t>
  </si>
  <si>
    <t>RISCHIO ACCETTABILE NON CRITICO</t>
  </si>
  <si>
    <t>EFFETTUARE MODIFICHE IMMEDIATE. PRESENZA DI CONDIZIONE CRITICA</t>
  </si>
  <si>
    <t>FASE 1 - ADATTAMENTI</t>
  </si>
  <si>
    <t>La MMC deve essere modificata adeguando la Progettazione del Lavoro in termini di Compito, Posto di Lavoro e Organizzazione del Lavoro; Progettazione dell'oggetto; Progettazione dell'ambiente lavorativo; Considerazioni sull'individuo; Informazione e Formazione.</t>
  </si>
  <si>
    <t>Sollevamento e trasporto sono accettabili; nessuna ulteriore azione necessaria.</t>
  </si>
  <si>
    <r>
      <t>P</t>
    </r>
    <r>
      <rPr>
        <vertAlign val="subscript"/>
        <sz val="11"/>
        <color theme="1"/>
        <rFont val="Calibri"/>
        <family val="2"/>
        <scheme val="minor"/>
      </rPr>
      <t>rifUad</t>
    </r>
  </si>
  <si>
    <r>
      <t>P</t>
    </r>
    <r>
      <rPr>
        <vertAlign val="subscript"/>
        <sz val="11"/>
        <color theme="1"/>
        <rFont val="Calibri"/>
        <family val="2"/>
        <scheme val="minor"/>
      </rPr>
      <t>rifUg/a</t>
    </r>
  </si>
  <si>
    <r>
      <t>P</t>
    </r>
    <r>
      <rPr>
        <vertAlign val="subscript"/>
        <sz val="11"/>
        <color theme="1"/>
        <rFont val="Calibri"/>
        <family val="2"/>
        <scheme val="minor"/>
      </rPr>
      <t>rifDad</t>
    </r>
  </si>
  <si>
    <r>
      <t>P</t>
    </r>
    <r>
      <rPr>
        <vertAlign val="subscript"/>
        <sz val="11"/>
        <color theme="1"/>
        <rFont val="Calibri"/>
        <family val="2"/>
        <scheme val="minor"/>
      </rPr>
      <t>rifDg/a</t>
    </r>
  </si>
  <si>
    <t>FASE 2</t>
  </si>
  <si>
    <t>Rapida valutazione per il sollevamento e il trasporto.
Nelle condizioni ideali ci si può limitare a questa verifica, altrimenti è necessario procedere con le altre fasi.</t>
  </si>
  <si>
    <t>Prospetto 1</t>
  </si>
  <si>
    <t>La simmetria (rotazione del corpo, torsione del tronco) è assente</t>
  </si>
  <si>
    <t>Il carico è mantenuto vicino al corpo (per esempio dove lo spazio tra il corpo e l'oggetto è ridotto al minimo)</t>
  </si>
  <si>
    <t>Lo spostamento verticale del carico è compreso tra le anche e le spalle</t>
  </si>
  <si>
    <t>Frequenza massima</t>
  </si>
  <si>
    <t>Prospetto 2</t>
  </si>
  <si>
    <t>Durata</t>
  </si>
  <si>
    <t>Dutata_P2</t>
  </si>
  <si>
    <t>Da 6 h a 8 h</t>
  </si>
  <si>
    <t>4 h</t>
  </si>
  <si>
    <t>1 h</t>
  </si>
  <si>
    <t>1 min</t>
  </si>
  <si>
    <t>Distanza</t>
  </si>
  <si>
    <t>Massa cumulativa limite</t>
  </si>
  <si>
    <t>Massa cumulativa x distanza</t>
  </si>
  <si>
    <t>Valutazione rapida Sollevamento e Abbassamento</t>
  </si>
  <si>
    <t>Valutazione rapida trasporto</t>
  </si>
  <si>
    <t>Massa cumulativa nel trasporto</t>
  </si>
  <si>
    <t>Verifica di accettabilità</t>
  </si>
  <si>
    <t>Prospetto 3</t>
  </si>
  <si>
    <t>Posizione verticale</t>
  </si>
  <si>
    <t>Spostamento verticale</t>
  </si>
  <si>
    <t>Distanza orizzontale</t>
  </si>
  <si>
    <t>Asimmetria</t>
  </si>
  <si>
    <t>Frequenza di sollevamento</t>
  </si>
  <si>
    <t>t</t>
  </si>
  <si>
    <t>Tempo di recupero tra un compito di movimentazione e un altro</t>
  </si>
  <si>
    <t>Superamento limiti uomini adulti</t>
  </si>
  <si>
    <t>Superamento limiti uomini g/a</t>
  </si>
  <si>
    <t>Superamento limiti donne adulte</t>
  </si>
  <si>
    <t>Superamento limiti donne g/a</t>
  </si>
  <si>
    <t>Prospetto 4</t>
  </si>
  <si>
    <t>L'ambiente di lavoro è sfavorevole al sollevamento e al trasporto?</t>
  </si>
  <si>
    <t>Presenza di stress termico estremo (basso o alto) (per esempio, temperatura, umidità, movimento dell'aria)</t>
  </si>
  <si>
    <t>Presenza di pavimento scivoloso, irregolare, instabile</t>
  </si>
  <si>
    <t>Presenza di spazio insufficiente per il sollevamento e il trasporto</t>
  </si>
  <si>
    <t>Ci sono caratteristiche dell'oggetto sfavorevoli per il sollevamento e il trasporto?</t>
  </si>
  <si>
    <t>La dimensione dell'oggetto riduce la visuale del lavoratore e ostacola il movimento</t>
  </si>
  <si>
    <t>Il baricentro del carico non è stabile (per esempio, liquidi, oggetti che si muovono all'interno dell'oggetto)</t>
  </si>
  <si>
    <t>La forma o la configurazione dell'oggetto presenta bordi, superfici o sporgenze taglienti</t>
  </si>
  <si>
    <t>Le superfici di contatto sono troppo fredde o troppo calde</t>
  </si>
  <si>
    <t>Impugnature o accoppiamenti impropri</t>
  </si>
  <si>
    <t>Il(I) compito(i) di sollevamento o trasporto dura(no) più di 8 h al giorno?</t>
  </si>
  <si>
    <t>VERIFICARE:</t>
  </si>
  <si>
    <t>Stress termico</t>
  </si>
  <si>
    <t>Pavimento scivoloso o instabile</t>
  </si>
  <si>
    <t>Spazio insufficiente</t>
  </si>
  <si>
    <t>Dimensioni dell'oggetto</t>
  </si>
  <si>
    <t>Baricentro del carico</t>
  </si>
  <si>
    <t>Forma dell'oggetto</t>
  </si>
  <si>
    <t>Superfici fredde o calde</t>
  </si>
  <si>
    <t>Impugnatura impropria</t>
  </si>
  <si>
    <t>Durata del compito</t>
  </si>
  <si>
    <t>Non ci sono fattori aggiuntivi da considerare</t>
  </si>
  <si>
    <t>FASE 3</t>
  </si>
  <si>
    <t>Verifica con i limiti raccomandati</t>
  </si>
  <si>
    <t>ISO 11228-1</t>
  </si>
  <si>
    <r>
      <t>fattore di altezza (v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)</t>
    </r>
  </si>
  <si>
    <r>
      <t>fattore verticale (d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)</t>
    </r>
  </si>
  <si>
    <r>
      <t>fattore orizzontale (h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)</t>
    </r>
  </si>
  <si>
    <r>
      <t>fattore asimmetria (a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)</t>
    </r>
  </si>
  <si>
    <r>
      <t>fattore frequenza (f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)</t>
    </r>
  </si>
  <si>
    <r>
      <t>fattore di presa (c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)</t>
    </r>
  </si>
  <si>
    <r>
      <t>fattore mano (O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)</t>
    </r>
  </si>
  <si>
    <r>
      <t>fattore persone (p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)</t>
    </r>
  </si>
  <si>
    <r>
      <t>fattore turno (e</t>
    </r>
    <r>
      <rPr>
        <vertAlign val="subscript"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)</t>
    </r>
  </si>
  <si>
    <t>cm</t>
  </si>
  <si>
    <t>FATTORE FREQUENZA ISO 11228-1</t>
  </si>
  <si>
    <t>Continuo &lt; 1 ora</t>
  </si>
  <si>
    <t>Continuo tra 1 e 2 ore</t>
  </si>
  <si>
    <t>Continuo tra 2 e 8 ore</t>
  </si>
  <si>
    <t>v&lt;0,75</t>
  </si>
  <si>
    <t>v&gt;=0,75</t>
  </si>
  <si>
    <t>D1</t>
  </si>
  <si>
    <t>Durata breve</t>
  </si>
  <si>
    <t>Durata media</t>
  </si>
  <si>
    <t>Durata lunga</t>
  </si>
  <si>
    <t>t &lt;= 1 h</t>
  </si>
  <si>
    <t>1 h &lt; t &lt;= 2 h</t>
  </si>
  <si>
    <t>2 h &lt; t &lt;= 8 h</t>
  </si>
  <si>
    <t>100% della durata del compito di sollevamento continuo e ripetitivo</t>
  </si>
  <si>
    <t>30% della durata del compito di sollevamento continuo e ripetitivo</t>
  </si>
  <si>
    <t>Nessuna quantità specificata; si presumono le normali pause del mattino, del pomeriggio e per il pranzo</t>
  </si>
  <si>
    <t>RLM</t>
  </si>
  <si>
    <t>LI</t>
  </si>
  <si>
    <t>Rischio</t>
  </si>
  <si>
    <t>Molto Basso</t>
  </si>
  <si>
    <t>Basso</t>
  </si>
  <si>
    <t>Moderato</t>
  </si>
  <si>
    <t>Alto</t>
  </si>
  <si>
    <t>Molto Alto</t>
  </si>
  <si>
    <t>Azioni raccomandate</t>
  </si>
  <si>
    <t>Nessuna azione necessaria in generale per la popolazione lavorativa sana.</t>
  </si>
  <si>
    <t>Prestare attenzione alle condizioni di bassa frequenza/alto carico e alle posture estreme o statiche. Includere tutti i fattori nella riprogettazione dei compiti o delle postazioni di lavoro e considerare ogni sforzo per abbassare i valori di LI &lt; 1,0.</t>
  </si>
  <si>
    <t>Riprogettare i compiti e i posti di lavoro secondo le priorità per ridurre l'LI, successivamente analizzare i risultati per confermare l'efficacia.</t>
  </si>
  <si>
    <t>I cambiamenti al compito per ridurre l'LI sono una priorità alta.</t>
  </si>
  <si>
    <t>I cambiamenti al compito per ridurre l'LI sono necessari immediatamente</t>
  </si>
  <si>
    <t>FASE 4</t>
  </si>
  <si>
    <t>Verifica della massa cumulativa giornaliera</t>
  </si>
  <si>
    <r>
      <t>m</t>
    </r>
    <r>
      <rPr>
        <vertAlign val="subscript"/>
        <sz val="11"/>
        <color theme="1"/>
        <rFont val="Calibri"/>
        <family val="2"/>
        <scheme val="minor"/>
      </rPr>
      <t>cumulativa</t>
    </r>
  </si>
  <si>
    <t>Massa cumulativa giornaliera</t>
  </si>
  <si>
    <t>FASE 5</t>
  </si>
  <si>
    <t>Verifica della massa cumulativa in relazione alla distanza nel breve, medio e lungo periodo</t>
  </si>
  <si>
    <r>
      <t>m</t>
    </r>
    <r>
      <rPr>
        <vertAlign val="subscript"/>
        <sz val="11"/>
        <color theme="1"/>
        <rFont val="Calibri"/>
        <family val="2"/>
        <scheme val="minor"/>
      </rPr>
      <t>cumulativa</t>
    </r>
    <r>
      <rPr>
        <sz val="11"/>
        <color theme="1"/>
        <rFont val="Calibri"/>
        <family val="2"/>
        <scheme val="minor"/>
      </rPr>
      <t xml:space="preserve"> al minuto</t>
    </r>
  </si>
  <si>
    <r>
      <t>m</t>
    </r>
    <r>
      <rPr>
        <vertAlign val="subscript"/>
        <sz val="11"/>
        <color theme="1"/>
        <rFont val="Calibri"/>
        <family val="2"/>
        <scheme val="minor"/>
      </rPr>
      <t>cumulativa</t>
    </r>
    <r>
      <rPr>
        <sz val="11"/>
        <color theme="1"/>
        <rFont val="Calibri"/>
        <family val="2"/>
        <scheme val="minor"/>
      </rPr>
      <t xml:space="preserve"> oraria</t>
    </r>
  </si>
  <si>
    <r>
      <t>m</t>
    </r>
    <r>
      <rPr>
        <vertAlign val="subscript"/>
        <sz val="11"/>
        <color theme="1"/>
        <rFont val="Calibri"/>
        <family val="2"/>
        <scheme val="minor"/>
      </rPr>
      <t>cumulativa</t>
    </r>
    <r>
      <rPr>
        <sz val="11"/>
        <color theme="1"/>
        <rFont val="Calibri"/>
        <family val="2"/>
        <scheme val="minor"/>
      </rPr>
      <t xml:space="preserve"> 2h</t>
    </r>
  </si>
  <si>
    <r>
      <t>m</t>
    </r>
    <r>
      <rPr>
        <vertAlign val="subscript"/>
        <sz val="11"/>
        <color theme="1"/>
        <rFont val="Calibri"/>
        <family val="2"/>
        <scheme val="minor"/>
      </rPr>
      <t>cumulativa</t>
    </r>
    <r>
      <rPr>
        <sz val="11"/>
        <color theme="1"/>
        <rFont val="Calibri"/>
        <family val="2"/>
        <scheme val="minor"/>
      </rPr>
      <t xml:space="preserve"> 3h</t>
    </r>
  </si>
  <si>
    <r>
      <t>m</t>
    </r>
    <r>
      <rPr>
        <vertAlign val="subscript"/>
        <sz val="11"/>
        <color theme="1"/>
        <rFont val="Calibri"/>
        <family val="2"/>
        <scheme val="minor"/>
      </rPr>
      <t>cumulativa</t>
    </r>
    <r>
      <rPr>
        <sz val="11"/>
        <color theme="1"/>
        <rFont val="Calibri"/>
        <family val="2"/>
        <scheme val="minor"/>
      </rPr>
      <t xml:space="preserve"> 4h</t>
    </r>
  </si>
  <si>
    <r>
      <t>m</t>
    </r>
    <r>
      <rPr>
        <vertAlign val="subscript"/>
        <sz val="11"/>
        <color theme="1"/>
        <rFont val="Calibri"/>
        <family val="2"/>
        <scheme val="minor"/>
      </rPr>
      <t>cumulativa</t>
    </r>
    <r>
      <rPr>
        <sz val="11"/>
        <color theme="1"/>
        <rFont val="Calibri"/>
        <family val="2"/>
        <scheme val="minor"/>
      </rPr>
      <t xml:space="preserve"> 5h</t>
    </r>
  </si>
  <si>
    <r>
      <t>m</t>
    </r>
    <r>
      <rPr>
        <vertAlign val="subscript"/>
        <sz val="11"/>
        <color theme="1"/>
        <rFont val="Calibri"/>
        <family val="2"/>
        <scheme val="minor"/>
      </rPr>
      <t>cumulativa</t>
    </r>
    <r>
      <rPr>
        <sz val="11"/>
        <color theme="1"/>
        <rFont val="Calibri"/>
        <family val="2"/>
        <scheme val="minor"/>
      </rPr>
      <t xml:space="preserve"> 6-8h</t>
    </r>
  </si>
  <si>
    <r>
      <t>m</t>
    </r>
    <r>
      <rPr>
        <vertAlign val="subscript"/>
        <sz val="11"/>
        <color theme="1"/>
        <rFont val="Calibri"/>
        <family val="2"/>
        <scheme val="minor"/>
      </rPr>
      <t>cumulativa</t>
    </r>
    <r>
      <rPr>
        <sz val="11"/>
        <color theme="1"/>
        <rFont val="Calibri"/>
        <family val="2"/>
        <scheme val="minor"/>
      </rPr>
      <t xml:space="preserve"> limite</t>
    </r>
  </si>
  <si>
    <t>NON VERIFICATA. LA MOVIMENTAZIONE DEVE ESSERE CON FREQUENZA O DURATA INFERIORE</t>
  </si>
  <si>
    <t>fattore correttivo</t>
  </si>
  <si>
    <t>1-2 m</t>
  </si>
  <si>
    <t>2-5 m</t>
  </si>
  <si>
    <t>5-10 m</t>
  </si>
  <si>
    <t>10-20 m</t>
  </si>
  <si>
    <r>
      <t>m</t>
    </r>
    <r>
      <rPr>
        <vertAlign val="subscript"/>
        <sz val="11"/>
        <color theme="1"/>
        <rFont val="Calibri"/>
        <family val="2"/>
        <scheme val="minor"/>
      </rPr>
      <t>cumulativa</t>
    </r>
    <r>
      <rPr>
        <sz val="11"/>
        <color theme="1"/>
        <rFont val="Calibri"/>
        <family val="2"/>
        <scheme val="minor"/>
      </rPr>
      <t xml:space="preserve"> limite corretta</t>
    </r>
  </si>
  <si>
    <t>ADATTAMENTO NECESSARIO</t>
  </si>
  <si>
    <r>
      <t xml:space="preserve">Ridurre i pesi sollevati in maniera immediata. </t>
    </r>
    <r>
      <rPr>
        <u/>
        <sz val="11"/>
        <color theme="1"/>
        <rFont val="Calibri"/>
        <family val="2"/>
        <scheme val="minor"/>
      </rPr>
      <t>Procedere con la valutazione.</t>
    </r>
  </si>
  <si>
    <t>Continuare con la Fase 4</t>
  </si>
  <si>
    <t>Continuare con la Fase 5</t>
  </si>
  <si>
    <t>Il peso sollevato è superiore a 3 Kg. Procedere con la valutazione.</t>
  </si>
  <si>
    <t>m&lt;=mref</t>
  </si>
  <si>
    <t>Frequenza massima in relazione al carico</t>
  </si>
  <si>
    <t>Attività svolta:</t>
  </si>
  <si>
    <t>PER OGNI POSTAZIONE COPIARE IL FOGLIO DI LAVORO E RINOMINARLO</t>
  </si>
  <si>
    <t>Nella scheda possono essere visualizzati direttamente i risultati del calcolo per una opportuna valutazione della postazione</t>
  </si>
  <si>
    <t xml:space="preserve"> SCHEDA DATI</t>
  </si>
  <si>
    <t>In azzurro sono riportati i dati da inserire</t>
  </si>
  <si>
    <t>In giallino le celle dove inserire i dati</t>
  </si>
  <si>
    <t>Rispondere anche alle domande poste in giallino</t>
  </si>
  <si>
    <t>SCHEDA STAMPA</t>
  </si>
  <si>
    <t>Nella scheda vengono riassunti i dati di calcolo e i risultati che non sono modificabili ma possono essere stampati direttamente su carta o su pdf per un successivo inserimento in relazione</t>
  </si>
  <si>
    <t>Uomini giovani/anziani</t>
  </si>
  <si>
    <t>Donne giovani/anziane</t>
  </si>
  <si>
    <t>UNI ISO 11228-1</t>
  </si>
  <si>
    <t>METODO NIOSH</t>
  </si>
  <si>
    <t xml:space="preserve">PLR uomini </t>
  </si>
  <si>
    <t xml:space="preserve">PLR donne </t>
  </si>
  <si>
    <r>
      <t>Indice di sollevamento (</t>
    </r>
    <r>
      <rPr>
        <b/>
        <sz val="10"/>
        <rFont val="Arial"/>
        <family val="2"/>
      </rPr>
      <t>IS</t>
    </r>
    <r>
      <rPr>
        <sz val="10"/>
        <rFont val="Arial"/>
        <family val="2"/>
      </rPr>
      <t>)</t>
    </r>
  </si>
  <si>
    <t>VALUTAZIONE</t>
  </si>
  <si>
    <t>MISURE DI TUTELA</t>
  </si>
  <si>
    <t>PLR =cost peso x f altez x f vert x f orizz x f asim x f freq x f di presa</t>
  </si>
  <si>
    <t>IS=peso movimentato/PLR</t>
  </si>
  <si>
    <t>NIOSH</t>
  </si>
  <si>
    <t>fattore di altezza (V)</t>
  </si>
  <si>
    <t>fattore verticale (Z)</t>
  </si>
  <si>
    <t>fattore orizzontale (H)</t>
  </si>
  <si>
    <t>fattore asimmetria (Y)</t>
  </si>
  <si>
    <t>fattore frequenza</t>
  </si>
  <si>
    <t>fattore di presa</t>
  </si>
  <si>
    <t>Fattore frequenza NIOSH</t>
  </si>
  <si>
    <t>Atti/min</t>
  </si>
  <si>
    <t>PLR uomini giovani/anziani</t>
  </si>
  <si>
    <t>PLR donne giovani/anziane</t>
  </si>
  <si>
    <t>uomini</t>
  </si>
  <si>
    <t>uomini giovani/anziani</t>
  </si>
  <si>
    <t>donne giovani/anziane</t>
  </si>
  <si>
    <t>donne</t>
  </si>
  <si>
    <t>Nessun intervento specifico</t>
  </si>
  <si>
    <t>Consigliato attivare la formazione e, a discrezione del medico, la sorveglianza sanitaria del personale addetto</t>
  </si>
  <si>
    <t>Intervento di prevenzione organizzativa; sorveglianza sanitaria</t>
  </si>
  <si>
    <t>Intervento programmato di prevenzione primaria tecnica e organizzativa; sorveglianza sanitaria</t>
  </si>
  <si>
    <t>Intervento immediato di prevenzione primaria tecnica e organizzativa; sorveglianza sanitaria</t>
  </si>
  <si>
    <t>Misure di tutela NIOSH</t>
  </si>
  <si>
    <r>
      <t xml:space="preserve">ATTENZIONE! </t>
    </r>
    <r>
      <rPr>
        <b/>
        <sz val="14"/>
        <color rgb="FFFF0000"/>
        <rFont val="Calibri"/>
        <family val="2"/>
        <scheme val="minor"/>
      </rPr>
      <t>Non si assume la responsabilità sull'uso del foglio di calcolo e l'uso dello stesso è da intendersi sotto la diretta responsabilità di chi ne fa uso.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</si>
</sst>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0"/>
      <color theme="1"/>
      <name val="Calibri"/>
      <family val="2"/>
      <scheme val="minor"/>
    </font>
    <font>
      <sz val="11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0" fillId="0" borderId="8" xfId="0" applyBorder="1"/>
    <xf numFmtId="0" fontId="1" fillId="0" borderId="2" xfId="0" applyFont="1" applyBorder="1"/>
    <xf numFmtId="0" fontId="1" fillId="0" borderId="9" xfId="0" applyFont="1" applyBorder="1"/>
    <xf numFmtId="0" fontId="1" fillId="0" borderId="10" xfId="0" applyFont="1" applyBorder="1"/>
    <xf numFmtId="0" fontId="8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9" fillId="0" borderId="0" xfId="0" applyFont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1" xfId="0" applyBorder="1" applyAlignment="1">
      <alignment wrapText="1"/>
    </xf>
    <xf numFmtId="0" fontId="0" fillId="0" borderId="1" xfId="0" applyBorder="1"/>
    <xf numFmtId="16" fontId="0" fillId="0" borderId="1" xfId="0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wrapTex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1" fillId="3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2" fontId="0" fillId="0" borderId="3" xfId="0" applyNumberFormat="1" applyBorder="1" applyAlignment="1">
      <alignment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0" fillId="0" borderId="5" xfId="0" applyNumberFormat="1" applyBorder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1" fillId="3" borderId="14" xfId="0" applyFont="1" applyFill="1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vertical="center" wrapText="1"/>
    </xf>
    <xf numFmtId="2" fontId="0" fillId="0" borderId="17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2" fontId="0" fillId="0" borderId="17" xfId="0" applyNumberFormat="1" applyBorder="1" applyAlignment="1">
      <alignment vertical="center" wrapText="1"/>
    </xf>
    <xf numFmtId="2" fontId="0" fillId="0" borderId="15" xfId="0" applyNumberFormat="1" applyBorder="1" applyAlignment="1">
      <alignment vertical="center" wrapText="1"/>
    </xf>
    <xf numFmtId="2" fontId="0" fillId="0" borderId="16" xfId="0" applyNumberFormat="1" applyBorder="1" applyAlignment="1">
      <alignment vertical="center" wrapText="1"/>
    </xf>
    <xf numFmtId="0" fontId="0" fillId="0" borderId="17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1" fillId="2" borderId="9" xfId="0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top"/>
    </xf>
    <xf numFmtId="0" fontId="0" fillId="5" borderId="1" xfId="0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top" wrapTex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0" borderId="1" xfId="0" applyFont="1" applyBorder="1" applyAlignment="1">
      <alignment horizontal="left" vertical="center" wrapText="1"/>
    </xf>
    <xf numFmtId="0" fontId="0" fillId="0" borderId="33" xfId="0" applyBorder="1" applyAlignment="1">
      <alignment wrapText="1"/>
    </xf>
    <xf numFmtId="0" fontId="0" fillId="0" borderId="32" xfId="0" applyBorder="1"/>
    <xf numFmtId="0" fontId="5" fillId="0" borderId="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0" fillId="0" borderId="38" xfId="0" applyBorder="1"/>
    <xf numFmtId="2" fontId="0" fillId="0" borderId="39" xfId="0" applyNumberFormat="1" applyBorder="1"/>
    <xf numFmtId="0" fontId="0" fillId="0" borderId="39" xfId="0" applyBorder="1"/>
    <xf numFmtId="2" fontId="0" fillId="0" borderId="8" xfId="0" applyNumberFormat="1" applyBorder="1"/>
    <xf numFmtId="2" fontId="0" fillId="0" borderId="6" xfId="0" applyNumberFormat="1" applyBorder="1"/>
    <xf numFmtId="0" fontId="17" fillId="0" borderId="32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0" fontId="0" fillId="0" borderId="37" xfId="0" applyBorder="1"/>
    <xf numFmtId="0" fontId="0" fillId="0" borderId="41" xfId="0" applyBorder="1" applyAlignment="1">
      <alignment wrapText="1"/>
    </xf>
    <xf numFmtId="164" fontId="0" fillId="0" borderId="0" xfId="0" applyNumberFormat="1" applyAlignment="1">
      <alignment horizontal="center"/>
    </xf>
    <xf numFmtId="0" fontId="0" fillId="0" borderId="33" xfId="0" applyBorder="1"/>
    <xf numFmtId="2" fontId="3" fillId="0" borderId="35" xfId="0" applyNumberFormat="1" applyFont="1" applyBorder="1" applyAlignment="1">
      <alignment horizontal="left" vertical="center" wrapText="1"/>
    </xf>
    <xf numFmtId="0" fontId="17" fillId="0" borderId="42" xfId="0" applyFont="1" applyBorder="1" applyAlignment="1">
      <alignment horizontal="left" vertical="center"/>
    </xf>
    <xf numFmtId="164" fontId="0" fillId="0" borderId="43" xfId="0" applyNumberFormat="1" applyBorder="1" applyAlignment="1">
      <alignment horizontal="center" vertical="center"/>
    </xf>
    <xf numFmtId="0" fontId="0" fillId="0" borderId="43" xfId="0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164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5" fillId="0" borderId="34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0" fillId="5" borderId="1" xfId="0" applyFill="1" applyBorder="1" applyAlignment="1" applyProtection="1">
      <alignment horizontal="left" wrapText="1"/>
      <protection locked="0"/>
    </xf>
    <xf numFmtId="0" fontId="0" fillId="5" borderId="1" xfId="0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4" fillId="3" borderId="26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/>
    </xf>
    <xf numFmtId="0" fontId="9" fillId="5" borderId="30" xfId="0" applyFont="1" applyFill="1" applyBorder="1" applyAlignment="1">
      <alignment horizontal="center"/>
    </xf>
    <xf numFmtId="0" fontId="9" fillId="5" borderId="31" xfId="0" applyFont="1" applyFill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3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9" fillId="5" borderId="29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</cellXfs>
  <cellStyles count="1">
    <cellStyle name="Normale" xfId="0" builtinId="0"/>
  </cellStyles>
  <dxfs count="61"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B36C0-79DA-44B5-821F-93D3516F22C7}">
  <dimension ref="A2:H19"/>
  <sheetViews>
    <sheetView tabSelected="1" workbookViewId="0">
      <selection activeCell="A2" sqref="A2:H2"/>
    </sheetView>
  </sheetViews>
  <sheetFormatPr defaultRowHeight="14.25" x14ac:dyDescent="0.45"/>
  <sheetData>
    <row r="2" spans="1:8" ht="63" customHeight="1" x14ac:dyDescent="0.65">
      <c r="A2" s="187" t="s">
        <v>232</v>
      </c>
      <c r="B2" s="187"/>
      <c r="C2" s="187"/>
      <c r="D2" s="187"/>
      <c r="E2" s="187"/>
      <c r="F2" s="187"/>
      <c r="G2" s="187"/>
      <c r="H2" s="187"/>
    </row>
    <row r="3" spans="1:8" ht="14.65" thickBot="1" x14ac:dyDescent="0.5"/>
    <row r="4" spans="1:8" ht="53.45" customHeight="1" thickTop="1" thickBot="1" x14ac:dyDescent="0.5">
      <c r="A4" s="123" t="s">
        <v>192</v>
      </c>
      <c r="B4" s="124"/>
      <c r="C4" s="124"/>
      <c r="D4" s="124"/>
      <c r="E4" s="124"/>
      <c r="F4" s="124"/>
      <c r="G4" s="124"/>
      <c r="H4" s="125"/>
    </row>
    <row r="5" spans="1:8" ht="15" thickTop="1" thickBot="1" x14ac:dyDescent="0.5"/>
    <row r="6" spans="1:8" ht="17.649999999999999" x14ac:dyDescent="0.5">
      <c r="A6" s="130" t="s">
        <v>194</v>
      </c>
      <c r="B6" s="131"/>
      <c r="C6" s="131"/>
      <c r="D6" s="131"/>
      <c r="E6" s="131"/>
      <c r="F6" s="131"/>
      <c r="G6" s="131"/>
      <c r="H6" s="131"/>
    </row>
    <row r="7" spans="1:8" x14ac:dyDescent="0.45">
      <c r="A7" s="91"/>
    </row>
    <row r="8" spans="1:8" x14ac:dyDescent="0.45">
      <c r="A8" s="132" t="s">
        <v>195</v>
      </c>
      <c r="B8" s="132"/>
      <c r="C8" s="132"/>
      <c r="D8" s="132"/>
      <c r="E8" s="132"/>
      <c r="F8" s="132"/>
      <c r="G8" s="132"/>
      <c r="H8" s="132"/>
    </row>
    <row r="9" spans="1:8" x14ac:dyDescent="0.45">
      <c r="A9" s="133" t="s">
        <v>196</v>
      </c>
      <c r="B9" s="133"/>
      <c r="C9" s="133"/>
      <c r="D9" s="133"/>
      <c r="E9" s="133"/>
      <c r="F9" s="133"/>
      <c r="G9" s="133"/>
      <c r="H9" s="133"/>
    </row>
    <row r="10" spans="1:8" x14ac:dyDescent="0.45">
      <c r="A10" s="133" t="s">
        <v>197</v>
      </c>
      <c r="B10" s="133"/>
      <c r="C10" s="133"/>
      <c r="D10" s="133"/>
      <c r="E10" s="133"/>
      <c r="F10" s="133"/>
      <c r="G10" s="133"/>
      <c r="H10" s="133"/>
    </row>
    <row r="12" spans="1:8" ht="64.8" customHeight="1" x14ac:dyDescent="0.45">
      <c r="A12" s="134" t="s">
        <v>193</v>
      </c>
      <c r="B12" s="134"/>
      <c r="C12" s="134"/>
      <c r="D12" s="134"/>
      <c r="E12" s="134"/>
      <c r="F12" s="134"/>
      <c r="G12" s="134"/>
      <c r="H12" s="134"/>
    </row>
    <row r="14" spans="1:8" ht="14.65" thickBot="1" x14ac:dyDescent="0.5">
      <c r="A14" s="92"/>
      <c r="B14" s="93"/>
      <c r="C14" s="93"/>
      <c r="D14" s="93"/>
      <c r="E14" s="93"/>
      <c r="F14" s="93"/>
      <c r="G14" s="93"/>
      <c r="H14" s="93"/>
    </row>
    <row r="15" spans="1:8" ht="17.649999999999999" x14ac:dyDescent="0.5">
      <c r="A15" s="130" t="s">
        <v>198</v>
      </c>
      <c r="B15" s="131"/>
      <c r="C15" s="131"/>
      <c r="D15" s="131"/>
      <c r="E15" s="131"/>
      <c r="F15" s="131"/>
      <c r="G15" s="131"/>
      <c r="H15" s="131"/>
    </row>
    <row r="16" spans="1:8" x14ac:dyDescent="0.45">
      <c r="A16" s="91"/>
    </row>
    <row r="17" spans="1:8" ht="77.45" customHeight="1" x14ac:dyDescent="0.45">
      <c r="A17" s="126" t="s">
        <v>199</v>
      </c>
      <c r="B17" s="127"/>
      <c r="C17" s="127"/>
      <c r="D17" s="127"/>
      <c r="E17" s="127"/>
      <c r="F17" s="127"/>
      <c r="G17" s="127"/>
      <c r="H17" s="127"/>
    </row>
    <row r="18" spans="1:8" ht="17.25" x14ac:dyDescent="0.45">
      <c r="A18" s="128"/>
      <c r="B18" s="129"/>
      <c r="C18" s="129"/>
      <c r="D18" s="129"/>
      <c r="E18" s="129"/>
      <c r="F18" s="129"/>
      <c r="G18" s="129"/>
      <c r="H18" s="129"/>
    </row>
    <row r="19" spans="1:8" ht="17.25" x14ac:dyDescent="0.45">
      <c r="A19" s="128"/>
      <c r="B19" s="129"/>
      <c r="C19" s="129"/>
      <c r="D19" s="129"/>
      <c r="E19" s="129"/>
      <c r="F19" s="129"/>
      <c r="G19" s="129"/>
      <c r="H19" s="129"/>
    </row>
  </sheetData>
  <sheetProtection algorithmName="SHA-512" hashValue="LjlSGar1J7PuGKtspiLDvPCzDZfm3SI7ZeaofDAgzQG2Pyq/N7mX2/aa0IZsAN2eNZiNcOsD0nKL1lpNwvJ2Ng==" saltValue="2+Wqquj5bVBTQ1dt1/5VBA==" spinCount="100000" sheet="1" objects="1" scenarios="1" selectLockedCells="1" selectUnlockedCells="1"/>
  <mergeCells count="11">
    <mergeCell ref="A2:H2"/>
    <mergeCell ref="A4:H4"/>
    <mergeCell ref="A17:H17"/>
    <mergeCell ref="A19:H19"/>
    <mergeCell ref="A15:H15"/>
    <mergeCell ref="A18:H18"/>
    <mergeCell ref="A6:H6"/>
    <mergeCell ref="A8:H8"/>
    <mergeCell ref="A9:H9"/>
    <mergeCell ref="A10:H10"/>
    <mergeCell ref="A12:H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3A33E-71E3-4076-8D25-A755638FB7BC}">
  <dimension ref="B2:Q60"/>
  <sheetViews>
    <sheetView workbookViewId="0">
      <selection activeCell="C2" sqref="C2:E2"/>
    </sheetView>
  </sheetViews>
  <sheetFormatPr defaultRowHeight="14.25" x14ac:dyDescent="0.45"/>
  <cols>
    <col min="1" max="1" width="7.6640625" customWidth="1"/>
    <col min="2" max="2" width="10" style="2" bestFit="1" customWidth="1"/>
    <col min="3" max="3" width="36.46484375" style="1" customWidth="1"/>
    <col min="4" max="4" width="8.86328125" style="2"/>
    <col min="8" max="8" width="21.1328125" style="35" bestFit="1" customWidth="1"/>
    <col min="9" max="9" width="18.33203125" style="38" customWidth="1"/>
    <col min="10" max="12" width="42.796875" style="38" customWidth="1"/>
    <col min="14" max="14" width="22.19921875" bestFit="1" customWidth="1"/>
    <col min="15" max="15" width="7.46484375" bestFit="1" customWidth="1"/>
    <col min="16" max="16" width="18.33203125" bestFit="1" customWidth="1"/>
    <col min="17" max="17" width="46.33203125" customWidth="1"/>
  </cols>
  <sheetData>
    <row r="2" spans="2:17" x14ac:dyDescent="0.45">
      <c r="B2" s="89" t="s">
        <v>39</v>
      </c>
      <c r="C2" s="137"/>
      <c r="D2" s="137"/>
      <c r="E2" s="137"/>
    </row>
    <row r="3" spans="2:17" ht="14.65" thickBot="1" x14ac:dyDescent="0.5">
      <c r="B3" s="89" t="s">
        <v>37</v>
      </c>
      <c r="C3" s="137"/>
      <c r="D3" s="137"/>
      <c r="E3" s="137"/>
    </row>
    <row r="4" spans="2:17" ht="44.45" customHeight="1" thickTop="1" thickBot="1" x14ac:dyDescent="0.5">
      <c r="B4" s="90" t="s">
        <v>191</v>
      </c>
      <c r="C4" s="138"/>
      <c r="D4" s="138"/>
      <c r="E4" s="138"/>
      <c r="H4" s="148" t="s">
        <v>202</v>
      </c>
      <c r="I4" s="149"/>
      <c r="J4" s="149"/>
      <c r="K4" s="149"/>
      <c r="L4" s="150"/>
      <c r="N4" s="151" t="s">
        <v>203</v>
      </c>
      <c r="O4" s="152"/>
      <c r="P4" s="152"/>
      <c r="Q4" s="153"/>
    </row>
    <row r="5" spans="2:17" ht="14.65" thickTop="1" x14ac:dyDescent="0.45">
      <c r="N5" s="108"/>
      <c r="O5" s="109"/>
      <c r="P5" s="110"/>
      <c r="Q5" s="111"/>
    </row>
    <row r="6" spans="2:17" x14ac:dyDescent="0.45">
      <c r="B6" s="139" t="s">
        <v>38</v>
      </c>
      <c r="C6" s="139"/>
      <c r="D6" s="139"/>
      <c r="E6" s="139"/>
      <c r="H6" s="46" t="s">
        <v>41</v>
      </c>
      <c r="I6" s="158" t="s">
        <v>188</v>
      </c>
      <c r="J6" s="158"/>
      <c r="K6" s="158"/>
      <c r="L6" s="159"/>
      <c r="N6" s="107" t="s">
        <v>204</v>
      </c>
      <c r="O6" s="112">
        <f>Calcoli!I4</f>
        <v>21.814671874999998</v>
      </c>
      <c r="P6" t="s">
        <v>34</v>
      </c>
      <c r="Q6" s="95"/>
    </row>
    <row r="7" spans="2:17" ht="21.4" thickBot="1" x14ac:dyDescent="0.5">
      <c r="B7" s="87" t="s">
        <v>0</v>
      </c>
      <c r="C7" s="94" t="s">
        <v>5</v>
      </c>
      <c r="D7" s="3" t="s">
        <v>132</v>
      </c>
      <c r="E7" s="85">
        <v>80</v>
      </c>
      <c r="N7" s="107" t="s">
        <v>220</v>
      </c>
      <c r="O7" s="112">
        <f>Calcoli!I5</f>
        <v>17.451737499999997</v>
      </c>
      <c r="P7" t="s">
        <v>34</v>
      </c>
      <c r="Q7" s="95"/>
    </row>
    <row r="8" spans="2:17" ht="21.4" thickTop="1" x14ac:dyDescent="0.45">
      <c r="B8" s="87" t="s">
        <v>1</v>
      </c>
      <c r="C8" s="94" t="s">
        <v>6</v>
      </c>
      <c r="D8" s="3" t="s">
        <v>132</v>
      </c>
      <c r="E8" s="85">
        <v>40</v>
      </c>
      <c r="H8" s="55" t="s">
        <v>42</v>
      </c>
      <c r="I8" s="160" t="s">
        <v>43</v>
      </c>
      <c r="J8" s="160"/>
      <c r="K8" s="160"/>
      <c r="L8" s="160"/>
      <c r="N8" s="107" t="s">
        <v>205</v>
      </c>
      <c r="O8" s="112">
        <f>Calcoli!I6</f>
        <v>17.451737499999997</v>
      </c>
      <c r="P8" t="s">
        <v>34</v>
      </c>
      <c r="Q8" s="95"/>
    </row>
    <row r="9" spans="2:17" ht="21" x14ac:dyDescent="0.45">
      <c r="B9" s="87" t="s">
        <v>2</v>
      </c>
      <c r="C9" s="94" t="s">
        <v>3</v>
      </c>
      <c r="D9" s="3" t="s">
        <v>132</v>
      </c>
      <c r="E9" s="85">
        <v>20</v>
      </c>
      <c r="I9" s="142" t="s">
        <v>189</v>
      </c>
      <c r="J9" s="38" t="s">
        <v>44</v>
      </c>
      <c r="K9" s="38" t="str">
        <f>Calcoli!E7</f>
        <v>VERIFICATA</v>
      </c>
      <c r="L9" s="38" t="str">
        <f>Calcoli!F7</f>
        <v/>
      </c>
      <c r="N9" s="107" t="s">
        <v>221</v>
      </c>
      <c r="O9" s="112">
        <f>Calcoli!I7</f>
        <v>13.088803125</v>
      </c>
      <c r="P9" t="s">
        <v>34</v>
      </c>
      <c r="Q9" s="113"/>
    </row>
    <row r="10" spans="2:17" x14ac:dyDescent="0.45">
      <c r="B10" s="87" t="s">
        <v>9</v>
      </c>
      <c r="C10" s="94" t="s">
        <v>7</v>
      </c>
      <c r="D10" s="3" t="s">
        <v>8</v>
      </c>
      <c r="E10" s="85">
        <v>0.8</v>
      </c>
      <c r="I10" s="143"/>
      <c r="J10" s="38" t="s">
        <v>200</v>
      </c>
      <c r="K10" s="38" t="str">
        <f>Calcoli!E8</f>
        <v>VERIFICATA</v>
      </c>
      <c r="L10" s="38" t="str">
        <f>Calcoli!F8</f>
        <v/>
      </c>
      <c r="N10" s="96"/>
      <c r="Q10" s="113"/>
    </row>
    <row r="11" spans="2:17" x14ac:dyDescent="0.45">
      <c r="B11" s="87" t="s">
        <v>12</v>
      </c>
      <c r="C11" s="94" t="s">
        <v>10</v>
      </c>
      <c r="D11" s="3" t="s">
        <v>11</v>
      </c>
      <c r="E11" s="85">
        <v>10</v>
      </c>
      <c r="I11" s="143"/>
      <c r="J11" s="38" t="s">
        <v>46</v>
      </c>
      <c r="K11" s="38" t="str">
        <f>Calcoli!E9</f>
        <v>VERIFICATA</v>
      </c>
      <c r="L11" s="38" t="str">
        <f>Calcoli!F9</f>
        <v/>
      </c>
      <c r="N11" s="154" t="s">
        <v>206</v>
      </c>
      <c r="O11" s="155"/>
      <c r="P11" s="97" t="s">
        <v>207</v>
      </c>
      <c r="Q11" s="98" t="s">
        <v>208</v>
      </c>
    </row>
    <row r="12" spans="2:17" ht="29" customHeight="1" x14ac:dyDescent="0.45">
      <c r="B12" s="87" t="s">
        <v>14</v>
      </c>
      <c r="C12" s="94" t="s">
        <v>13</v>
      </c>
      <c r="D12" s="3" t="s">
        <v>15</v>
      </c>
      <c r="E12" s="85">
        <v>0</v>
      </c>
      <c r="H12" s="41"/>
      <c r="I12" s="144"/>
      <c r="J12" s="42" t="s">
        <v>201</v>
      </c>
      <c r="K12" s="42" t="str">
        <f>Calcoli!E10</f>
        <v>ADATTAMENTO NECESSARIO</v>
      </c>
      <c r="L12" s="42" t="str">
        <f>Calcoli!F10</f>
        <v>Ridurre i pesi sollevati in maniera immediata. Procedere con la valutazione.</v>
      </c>
      <c r="N12" s="99" t="s">
        <v>222</v>
      </c>
      <c r="O12" s="100">
        <f>Calcoli!I10</f>
        <v>0.91681415675659805</v>
      </c>
      <c r="P12" s="100" t="str">
        <f>Calcoli!J10</f>
        <v>Rischio Molto Basso</v>
      </c>
      <c r="Q12" s="114" t="str">
        <f>Calcoli!K10</f>
        <v>Consigliato attivare la formazione e, a discrezione del medico, la sorveglianza sanitaria del personale addetto</v>
      </c>
    </row>
    <row r="13" spans="2:17" ht="29" customHeight="1" thickBot="1" x14ac:dyDescent="0.5">
      <c r="B13" s="87" t="s">
        <v>17</v>
      </c>
      <c r="C13" s="94" t="s">
        <v>16</v>
      </c>
      <c r="D13" s="6" t="s">
        <v>40</v>
      </c>
      <c r="E13" s="85" t="s">
        <v>29</v>
      </c>
      <c r="N13" s="99" t="s">
        <v>223</v>
      </c>
      <c r="O13" s="100">
        <f>Calcoli!I11</f>
        <v>1.1460176959457478</v>
      </c>
      <c r="P13" s="100" t="str">
        <f>Calcoli!J11</f>
        <v>Rischio Basso</v>
      </c>
      <c r="Q13" s="114" t="str">
        <f>Calcoli!K11</f>
        <v>Intervento di prevenzione organizzativa; sorveglianza sanitaria</v>
      </c>
    </row>
    <row r="14" spans="2:17" ht="29" customHeight="1" thickTop="1" x14ac:dyDescent="0.45">
      <c r="B14" s="87" t="s">
        <v>19</v>
      </c>
      <c r="C14" s="94" t="s">
        <v>18</v>
      </c>
      <c r="D14" s="6" t="s">
        <v>40</v>
      </c>
      <c r="E14" s="85" t="s">
        <v>26</v>
      </c>
      <c r="H14" s="55" t="s">
        <v>64</v>
      </c>
      <c r="I14" s="160" t="s">
        <v>65</v>
      </c>
      <c r="J14" s="160"/>
      <c r="K14" s="160"/>
      <c r="L14" s="160"/>
      <c r="N14" s="99" t="s">
        <v>225</v>
      </c>
      <c r="O14" s="100">
        <f>Calcoli!I12</f>
        <v>1.1460176959457478</v>
      </c>
      <c r="P14" s="100" t="str">
        <f>Calcoli!J12</f>
        <v>Rischio Basso</v>
      </c>
      <c r="Q14" s="114" t="str">
        <f>Calcoli!K12</f>
        <v>Intervento di prevenzione organizzativa; sorveglianza sanitaria</v>
      </c>
    </row>
    <row r="15" spans="2:17" ht="29" customHeight="1" thickBot="1" x14ac:dyDescent="0.5">
      <c r="B15" s="87" t="s">
        <v>21</v>
      </c>
      <c r="C15" s="94" t="s">
        <v>20</v>
      </c>
      <c r="D15" s="6" t="s">
        <v>40</v>
      </c>
      <c r="E15" s="85" t="s">
        <v>26</v>
      </c>
      <c r="H15" s="40" t="s">
        <v>66</v>
      </c>
      <c r="N15" s="101" t="s">
        <v>224</v>
      </c>
      <c r="O15" s="100">
        <f>Calcoli!I13</f>
        <v>1.5280235945943301</v>
      </c>
      <c r="P15" s="100" t="str">
        <f>Calcoli!J13</f>
        <v>Rischio Significativo</v>
      </c>
      <c r="Q15" s="114" t="str">
        <f>Calcoli!K13</f>
        <v>Intervento programmato di prevenzione primaria tecnica e organizzativa; sorveglianza sanitaria</v>
      </c>
    </row>
    <row r="16" spans="2:17" ht="28.9" thickTop="1" x14ac:dyDescent="0.45">
      <c r="B16" s="87" t="s">
        <v>23</v>
      </c>
      <c r="C16" s="94" t="s">
        <v>22</v>
      </c>
      <c r="D16" s="3" t="s">
        <v>24</v>
      </c>
      <c r="E16" s="85">
        <v>0</v>
      </c>
      <c r="I16" s="143" t="s">
        <v>81</v>
      </c>
      <c r="J16" s="38" t="s">
        <v>67</v>
      </c>
      <c r="K16" s="34" t="str">
        <f>Calcoli!E14</f>
        <v>SI</v>
      </c>
      <c r="N16" s="156" t="s">
        <v>209</v>
      </c>
      <c r="O16" s="156"/>
      <c r="P16" s="156"/>
      <c r="Q16" s="156"/>
    </row>
    <row r="17" spans="2:17" ht="42.75" x14ac:dyDescent="0.45">
      <c r="B17" s="87" t="s">
        <v>32</v>
      </c>
      <c r="C17" s="94" t="s">
        <v>33</v>
      </c>
      <c r="D17" s="3" t="s">
        <v>34</v>
      </c>
      <c r="E17" s="85">
        <v>20</v>
      </c>
      <c r="I17" s="143"/>
      <c r="J17" s="38" t="s">
        <v>68</v>
      </c>
      <c r="K17" s="34" t="str">
        <f>Calcoli!E15</f>
        <v>SI</v>
      </c>
      <c r="N17" s="157" t="s">
        <v>210</v>
      </c>
      <c r="O17" s="157"/>
      <c r="P17" s="157"/>
      <c r="Q17" s="157"/>
    </row>
    <row r="18" spans="2:17" ht="28.5" x14ac:dyDescent="0.45">
      <c r="B18" s="87" t="s">
        <v>35</v>
      </c>
      <c r="C18" s="94" t="s">
        <v>36</v>
      </c>
      <c r="D18" s="3" t="s">
        <v>4</v>
      </c>
      <c r="E18" s="85">
        <v>1</v>
      </c>
      <c r="I18" s="143"/>
      <c r="J18" s="38" t="s">
        <v>69</v>
      </c>
      <c r="K18" s="34" t="str">
        <f>Calcoli!E16</f>
        <v>SI</v>
      </c>
    </row>
    <row r="19" spans="2:17" ht="21" x14ac:dyDescent="0.45">
      <c r="B19" s="88" t="s">
        <v>91</v>
      </c>
      <c r="C19" s="94" t="s">
        <v>92</v>
      </c>
      <c r="D19" s="3" t="s">
        <v>11</v>
      </c>
      <c r="E19" s="85">
        <v>140</v>
      </c>
      <c r="I19" s="144"/>
      <c r="J19" s="42" t="s">
        <v>190</v>
      </c>
      <c r="K19" s="44" t="str">
        <f>Calcoli!E17</f>
        <v>NO</v>
      </c>
      <c r="L19" s="42"/>
    </row>
    <row r="20" spans="2:17" x14ac:dyDescent="0.45">
      <c r="B20" s="136" t="s">
        <v>98</v>
      </c>
      <c r="C20" s="136"/>
      <c r="D20" s="136"/>
      <c r="E20" s="136"/>
      <c r="K20" s="34"/>
    </row>
    <row r="21" spans="2:17" ht="29" customHeight="1" x14ac:dyDescent="0.45">
      <c r="B21" s="135" t="s">
        <v>99</v>
      </c>
      <c r="C21" s="135"/>
      <c r="D21" s="135"/>
      <c r="E21" s="86" t="s">
        <v>26</v>
      </c>
      <c r="H21" s="39" t="s">
        <v>71</v>
      </c>
      <c r="K21" s="34"/>
    </row>
    <row r="22" spans="2:17" ht="28.5" x14ac:dyDescent="0.45">
      <c r="B22" s="135" t="s">
        <v>100</v>
      </c>
      <c r="C22" s="135"/>
      <c r="D22" s="135"/>
      <c r="E22" s="86" t="s">
        <v>26</v>
      </c>
      <c r="I22" s="42" t="s">
        <v>82</v>
      </c>
      <c r="J22" s="42" t="s">
        <v>83</v>
      </c>
      <c r="K22" s="44" t="str">
        <f>Calcoli!E20</f>
        <v>VERIFICATA</v>
      </c>
      <c r="L22" s="42"/>
    </row>
    <row r="23" spans="2:17" x14ac:dyDescent="0.45">
      <c r="B23" s="135" t="s">
        <v>101</v>
      </c>
      <c r="C23" s="135"/>
      <c r="D23" s="135"/>
      <c r="E23" s="86" t="s">
        <v>26</v>
      </c>
    </row>
    <row r="24" spans="2:17" x14ac:dyDescent="0.45">
      <c r="B24" s="136" t="s">
        <v>102</v>
      </c>
      <c r="C24" s="136"/>
      <c r="D24" s="136"/>
      <c r="E24" s="136"/>
      <c r="H24" s="39" t="s">
        <v>84</v>
      </c>
    </row>
    <row r="25" spans="2:17" ht="28.25" customHeight="1" x14ac:dyDescent="0.45">
      <c r="B25" s="135" t="s">
        <v>103</v>
      </c>
      <c r="C25" s="135"/>
      <c r="D25" s="135"/>
      <c r="E25" s="86" t="s">
        <v>26</v>
      </c>
      <c r="I25" s="140" t="str">
        <f>Calcoli!C23</f>
        <v>Continuare la valutazione con il prospetto 3.</v>
      </c>
      <c r="J25" s="140"/>
      <c r="K25" s="140"/>
      <c r="L25" s="140"/>
    </row>
    <row r="26" spans="2:17" ht="29" customHeight="1" x14ac:dyDescent="0.45">
      <c r="B26" s="135" t="s">
        <v>104</v>
      </c>
      <c r="C26" s="135"/>
      <c r="D26" s="135"/>
      <c r="E26" s="86" t="s">
        <v>25</v>
      </c>
    </row>
    <row r="27" spans="2:17" ht="29" customHeight="1" x14ac:dyDescent="0.45">
      <c r="B27" s="135" t="s">
        <v>105</v>
      </c>
      <c r="C27" s="135"/>
      <c r="D27" s="135"/>
      <c r="E27" s="86" t="s">
        <v>25</v>
      </c>
      <c r="H27" s="39" t="s">
        <v>85</v>
      </c>
    </row>
    <row r="28" spans="2:17" ht="43.25" customHeight="1" x14ac:dyDescent="0.45">
      <c r="B28" s="135" t="s">
        <v>106</v>
      </c>
      <c r="C28" s="135"/>
      <c r="D28" s="135"/>
      <c r="E28" s="86" t="s">
        <v>25</v>
      </c>
      <c r="I28" s="38" t="s">
        <v>44</v>
      </c>
      <c r="J28" s="38" t="str">
        <f>Calcoli!D26</f>
        <v>RISCHIO ACCETTABILE NON CRITICO</v>
      </c>
      <c r="K28" s="145" t="str">
        <f>Calcoli!E26</f>
        <v>Procedere con la Fase 3</v>
      </c>
      <c r="L28" s="145"/>
    </row>
    <row r="29" spans="2:17" ht="43.25" customHeight="1" x14ac:dyDescent="0.45">
      <c r="B29" s="135" t="s">
        <v>107</v>
      </c>
      <c r="C29" s="135"/>
      <c r="D29" s="135"/>
      <c r="E29" s="86" t="s">
        <v>25</v>
      </c>
      <c r="I29" s="38" t="s">
        <v>200</v>
      </c>
      <c r="J29" s="38" t="str">
        <f>Calcoli!D27</f>
        <v>RISCHIO ACCETTABILE NON CRITICO</v>
      </c>
      <c r="K29" s="145" t="str">
        <f>Calcoli!E27</f>
        <v>Procedere con la Fase 3</v>
      </c>
      <c r="L29" s="145"/>
    </row>
    <row r="30" spans="2:17" ht="43.25" customHeight="1" x14ac:dyDescent="0.45">
      <c r="B30" s="135" t="s">
        <v>108</v>
      </c>
      <c r="C30" s="135"/>
      <c r="D30" s="135"/>
      <c r="E30" s="86" t="s">
        <v>26</v>
      </c>
      <c r="I30" s="38" t="s">
        <v>46</v>
      </c>
      <c r="J30" s="38" t="str">
        <f>Calcoli!D28</f>
        <v>RISCHIO ACCETTABILE NON CRITICO</v>
      </c>
      <c r="K30" s="145" t="str">
        <f>Calcoli!E28</f>
        <v>Procedere con la Fase 3</v>
      </c>
      <c r="L30" s="145"/>
    </row>
    <row r="31" spans="2:17" ht="43.25" customHeight="1" x14ac:dyDescent="0.45">
      <c r="I31" s="42" t="s">
        <v>201</v>
      </c>
      <c r="J31" s="42" t="str">
        <f>Calcoli!D29</f>
        <v>EFFETTUARE MODIFICHE IMMEDIATE. PRESENZA DI CONDIZIONE CRITICA</v>
      </c>
      <c r="K31" s="146" t="str">
        <f>Calcoli!E29</f>
        <v>La MMC deve essere modificata adeguando la Progettazione del Lavoro in termini di Compito, Posto di Lavoro e Organizzazione del Lavoro; Progettazione dell'oggetto; Progettazione dell'ambiente lavorativo; Considerazioni sull'individuo; Informazione e Formazione.</v>
      </c>
      <c r="L31" s="146"/>
    </row>
    <row r="33" spans="8:12" x14ac:dyDescent="0.45">
      <c r="H33" s="39" t="s">
        <v>97</v>
      </c>
    </row>
    <row r="34" spans="8:12" x14ac:dyDescent="0.45">
      <c r="I34" s="47" t="s">
        <v>109</v>
      </c>
      <c r="J34" s="146" t="str">
        <f>Calcoli!D32</f>
        <v>Baricentro del carico; Forma dell'oggetto; Superfici fredde o calde; Impugnatura impropria</v>
      </c>
      <c r="K34" s="146"/>
      <c r="L34" s="146"/>
    </row>
    <row r="35" spans="8:12" ht="14.65" thickBot="1" x14ac:dyDescent="0.5"/>
    <row r="36" spans="8:12" ht="14.65" thickTop="1" x14ac:dyDescent="0.45">
      <c r="H36" s="55" t="s">
        <v>120</v>
      </c>
      <c r="I36" s="141" t="s">
        <v>121</v>
      </c>
      <c r="J36" s="141"/>
      <c r="K36" s="141"/>
      <c r="L36" s="141"/>
    </row>
    <row r="37" spans="8:12" x14ac:dyDescent="0.45">
      <c r="I37" s="142" t="s">
        <v>149</v>
      </c>
      <c r="J37" s="38" t="s">
        <v>44</v>
      </c>
      <c r="K37" s="49">
        <f>Calcoli!E35</f>
        <v>21.860597499999997</v>
      </c>
    </row>
    <row r="38" spans="8:12" x14ac:dyDescent="0.45">
      <c r="I38" s="143"/>
      <c r="J38" s="38" t="s">
        <v>200</v>
      </c>
      <c r="K38" s="49">
        <f>Calcoli!E36</f>
        <v>17.488477999999997</v>
      </c>
    </row>
    <row r="39" spans="8:12" x14ac:dyDescent="0.45">
      <c r="I39" s="143"/>
      <c r="J39" s="38" t="s">
        <v>46</v>
      </c>
      <c r="K39" s="49">
        <f>Calcoli!E37</f>
        <v>17.488477999999997</v>
      </c>
    </row>
    <row r="40" spans="8:12" x14ac:dyDescent="0.45">
      <c r="I40" s="144"/>
      <c r="J40" s="42" t="s">
        <v>201</v>
      </c>
      <c r="K40" s="50">
        <f>Calcoli!E38</f>
        <v>13.116358499999999</v>
      </c>
      <c r="L40" s="42"/>
    </row>
    <row r="41" spans="8:12" x14ac:dyDescent="0.45">
      <c r="I41" s="143" t="s">
        <v>150</v>
      </c>
      <c r="J41" s="38" t="s">
        <v>44</v>
      </c>
      <c r="K41" s="49">
        <f>Calcoli!E39</f>
        <v>0.91488807659534477</v>
      </c>
      <c r="L41" s="51" t="str">
        <f>Calcoli!F39</f>
        <v>Molto Basso</v>
      </c>
    </row>
    <row r="42" spans="8:12" x14ac:dyDescent="0.45">
      <c r="I42" s="143"/>
      <c r="J42" s="38" t="s">
        <v>200</v>
      </c>
      <c r="K42" s="49">
        <f>Calcoli!E40</f>
        <v>1.143610095744181</v>
      </c>
      <c r="L42" s="52" t="str">
        <f>Calcoli!F40</f>
        <v>Basso</v>
      </c>
    </row>
    <row r="43" spans="8:12" x14ac:dyDescent="0.45">
      <c r="I43" s="143"/>
      <c r="J43" s="38" t="s">
        <v>46</v>
      </c>
      <c r="K43" s="49">
        <f>Calcoli!E41</f>
        <v>1.143610095744181</v>
      </c>
      <c r="L43" s="52" t="str">
        <f>Calcoli!F41</f>
        <v>Basso</v>
      </c>
    </row>
    <row r="44" spans="8:12" x14ac:dyDescent="0.45">
      <c r="I44" s="144"/>
      <c r="J44" s="42" t="s">
        <v>201</v>
      </c>
      <c r="K44" s="49">
        <f>Calcoli!E42</f>
        <v>1.5248134609922412</v>
      </c>
      <c r="L44" s="43" t="str">
        <f>Calcoli!F42</f>
        <v>Moderato</v>
      </c>
    </row>
    <row r="45" spans="8:12" ht="28.5" x14ac:dyDescent="0.45">
      <c r="I45" s="142" t="s">
        <v>84</v>
      </c>
      <c r="J45" s="45" t="s">
        <v>44</v>
      </c>
      <c r="K45" s="53" t="str">
        <f>Calcoli!E43</f>
        <v>Continuare con la Fase 4</v>
      </c>
      <c r="L45" s="45" t="str">
        <f>Calcoli!F43</f>
        <v>Nessuna azione necessaria in generale per la popolazione lavorativa sana.</v>
      </c>
    </row>
    <row r="46" spans="8:12" ht="71.25" x14ac:dyDescent="0.45">
      <c r="I46" s="143"/>
      <c r="J46" s="38" t="s">
        <v>200</v>
      </c>
      <c r="K46" s="54" t="str">
        <f>Calcoli!E44</f>
        <v>Continuare con la Fase 4</v>
      </c>
      <c r="L46" s="38" t="str">
        <f>Calcoli!F44</f>
        <v>Prestare attenzione alle condizioni di bassa frequenza/alto carico e alle posture estreme o statiche. Includere tutti i fattori nella riprogettazione dei compiti o delle postazioni di lavoro e considerare ogni sforzo per abbassare i valori di LI &lt; 1,0.</v>
      </c>
    </row>
    <row r="47" spans="8:12" ht="71.25" x14ac:dyDescent="0.45">
      <c r="I47" s="143"/>
      <c r="J47" s="38" t="s">
        <v>46</v>
      </c>
      <c r="K47" s="54" t="str">
        <f>Calcoli!E45</f>
        <v>Continuare con la Fase 4</v>
      </c>
      <c r="L47" s="38" t="str">
        <f>Calcoli!F45</f>
        <v>Prestare attenzione alle condizioni di bassa frequenza/alto carico e alle posture estreme o statiche. Includere tutti i fattori nella riprogettazione dei compiti o delle postazioni di lavoro e considerare ogni sforzo per abbassare i valori di LI &lt; 1,0.</v>
      </c>
    </row>
    <row r="48" spans="8:12" ht="42.75" x14ac:dyDescent="0.45">
      <c r="I48" s="144"/>
      <c r="J48" s="42" t="s">
        <v>201</v>
      </c>
      <c r="K48" s="48" t="str">
        <f>Calcoli!E46</f>
        <v>Continuare con la Fase 4</v>
      </c>
      <c r="L48" s="42" t="str">
        <f>Calcoli!F46</f>
        <v>Riprogettare i compiti e i posti di lavoro secondo le priorità per ridurre l'LI, successivamente analizzare i risultati per confermare l'efficacia.</v>
      </c>
    </row>
    <row r="49" spans="8:12" ht="14.65" thickBot="1" x14ac:dyDescent="0.5"/>
    <row r="50" spans="8:12" ht="14.65" thickTop="1" x14ac:dyDescent="0.45">
      <c r="H50" s="55" t="s">
        <v>163</v>
      </c>
      <c r="I50" s="141" t="s">
        <v>164</v>
      </c>
      <c r="J50" s="141"/>
      <c r="K50" s="141"/>
      <c r="L50" s="141"/>
    </row>
    <row r="51" spans="8:12" ht="30" customHeight="1" x14ac:dyDescent="0.45">
      <c r="I51" s="38" t="s">
        <v>165</v>
      </c>
      <c r="J51" s="147" t="str">
        <f>Calcoli!D49</f>
        <v>Continuare con la Fase 5</v>
      </c>
      <c r="K51" s="147"/>
      <c r="L51" s="147"/>
    </row>
    <row r="52" spans="8:12" ht="14.65" thickBot="1" x14ac:dyDescent="0.5"/>
    <row r="53" spans="8:12" ht="14.65" thickTop="1" x14ac:dyDescent="0.45">
      <c r="H53" s="55" t="s">
        <v>167</v>
      </c>
      <c r="I53" s="141" t="s">
        <v>168</v>
      </c>
      <c r="J53" s="141"/>
      <c r="K53" s="141"/>
      <c r="L53" s="141"/>
    </row>
    <row r="54" spans="8:12" ht="15.75" x14ac:dyDescent="0.45">
      <c r="I54" s="38" t="s">
        <v>169</v>
      </c>
      <c r="J54" s="147" t="str">
        <f>Calcoli!D52</f>
        <v>ACCETTABILE</v>
      </c>
      <c r="K54" s="147"/>
      <c r="L54" s="147"/>
    </row>
    <row r="55" spans="8:12" ht="15.75" x14ac:dyDescent="0.45">
      <c r="I55" s="38" t="s">
        <v>170</v>
      </c>
      <c r="J55" s="145" t="str">
        <f>Calcoli!D53</f>
        <v>ACCETTABILE</v>
      </c>
      <c r="K55" s="145"/>
      <c r="L55" s="145"/>
    </row>
    <row r="56" spans="8:12" ht="15.6" customHeight="1" x14ac:dyDescent="0.45">
      <c r="I56" s="38" t="s">
        <v>171</v>
      </c>
      <c r="J56" s="145" t="str">
        <f>Calcoli!D54</f>
        <v>ACCETTABILE</v>
      </c>
      <c r="K56" s="145"/>
      <c r="L56" s="145"/>
    </row>
    <row r="57" spans="8:12" ht="15.6" customHeight="1" x14ac:dyDescent="0.45">
      <c r="I57" s="38" t="s">
        <v>172</v>
      </c>
      <c r="J57" s="145" t="str">
        <f>Calcoli!D55</f>
        <v>ACCETTABILE</v>
      </c>
      <c r="K57" s="145"/>
      <c r="L57" s="145"/>
    </row>
    <row r="58" spans="8:12" ht="15.6" customHeight="1" x14ac:dyDescent="0.45">
      <c r="I58" s="38" t="s">
        <v>173</v>
      </c>
      <c r="J58" s="145" t="str">
        <f>Calcoli!D56</f>
        <v>ACCETTABILE</v>
      </c>
      <c r="K58" s="145"/>
      <c r="L58" s="145"/>
    </row>
    <row r="59" spans="8:12" ht="15.6" customHeight="1" x14ac:dyDescent="0.45">
      <c r="I59" s="38" t="s">
        <v>174</v>
      </c>
      <c r="J59" s="145" t="str">
        <f>Calcoli!D57</f>
        <v>ACCETTABILE</v>
      </c>
      <c r="K59" s="145"/>
      <c r="L59" s="145"/>
    </row>
    <row r="60" spans="8:12" ht="15.6" customHeight="1" x14ac:dyDescent="0.45">
      <c r="H60" s="41"/>
      <c r="I60" s="42" t="s">
        <v>175</v>
      </c>
      <c r="J60" s="146" t="str">
        <f>Calcoli!D58</f>
        <v>NON VERIFICATA. LA MOVIMENTAZIONE DEVE ESSERE CON FREQUENZA O DURATA INFERIORE</v>
      </c>
      <c r="K60" s="146"/>
      <c r="L60" s="146"/>
    </row>
  </sheetData>
  <sheetProtection algorithmName="SHA-512" hashValue="pJ94qKHzPmHAev5nMzJSqSyFBP3W5yI1VQnBLrApW9aP2/Io9yuYAnbxGN0Xji5sha3/w2ovS0cGe+OO/Cc+eA==" saltValue="PDGEISIJyqdlWZBs4npUEA==" spinCount="100000" sheet="1" objects="1" scenarios="1" selectLockedCells="1"/>
  <mergeCells count="45">
    <mergeCell ref="H4:L4"/>
    <mergeCell ref="N4:Q4"/>
    <mergeCell ref="N11:O11"/>
    <mergeCell ref="N16:Q16"/>
    <mergeCell ref="N17:Q17"/>
    <mergeCell ref="I6:L6"/>
    <mergeCell ref="I8:L8"/>
    <mergeCell ref="I14:L14"/>
    <mergeCell ref="I16:I19"/>
    <mergeCell ref="I9:I12"/>
    <mergeCell ref="J57:L57"/>
    <mergeCell ref="J58:L58"/>
    <mergeCell ref="J59:L59"/>
    <mergeCell ref="J60:L60"/>
    <mergeCell ref="K28:L28"/>
    <mergeCell ref="K29:L29"/>
    <mergeCell ref="K30:L30"/>
    <mergeCell ref="K31:L31"/>
    <mergeCell ref="J34:L34"/>
    <mergeCell ref="J51:L51"/>
    <mergeCell ref="I50:L50"/>
    <mergeCell ref="I53:L53"/>
    <mergeCell ref="J54:L54"/>
    <mergeCell ref="J55:L55"/>
    <mergeCell ref="J56:L56"/>
    <mergeCell ref="I25:L25"/>
    <mergeCell ref="I36:L36"/>
    <mergeCell ref="I37:I40"/>
    <mergeCell ref="I41:I44"/>
    <mergeCell ref="I45:I48"/>
    <mergeCell ref="C3:E3"/>
    <mergeCell ref="C4:E4"/>
    <mergeCell ref="B6:E6"/>
    <mergeCell ref="C2:E2"/>
    <mergeCell ref="B29:D29"/>
    <mergeCell ref="B30:D30"/>
    <mergeCell ref="B20:E20"/>
    <mergeCell ref="B24:E24"/>
    <mergeCell ref="B25:D25"/>
    <mergeCell ref="B26:D26"/>
    <mergeCell ref="B27:D27"/>
    <mergeCell ref="B28:D28"/>
    <mergeCell ref="B21:D21"/>
    <mergeCell ref="B22:D22"/>
    <mergeCell ref="B23:D23"/>
  </mergeCells>
  <conditionalFormatting sqref="J51">
    <cfRule type="containsText" dxfId="54" priority="9" operator="containsText" text="MMC">
      <formula>NOT(ISERROR(SEARCH("MMC",J51)))</formula>
    </cfRule>
  </conditionalFormatting>
  <conditionalFormatting sqref="P12:P15">
    <cfRule type="containsText" dxfId="42" priority="1" stopIfTrue="1" operator="containsText" text="Rischio Accettabile">
      <formula>NOT(ISERROR(SEARCH("Rischio Accettabile",P12)))</formula>
    </cfRule>
    <cfRule type="containsText" dxfId="41" priority="2" stopIfTrue="1" operator="containsText" text="Rischio Molto Basso">
      <formula>NOT(ISERROR(SEARCH("Rischio Molto Basso",P12)))</formula>
    </cfRule>
    <cfRule type="containsText" dxfId="40" priority="3" stopIfTrue="1" operator="containsText" text="Rischio Basso">
      <formula>NOT(ISERROR(SEARCH("Rischio Basso",P12)))</formula>
    </cfRule>
    <cfRule type="containsText" dxfId="39" priority="4" stopIfTrue="1" operator="containsText" text="Rischio Significativo">
      <formula>NOT(ISERROR(SEARCH("Rischio Significativo",P12)))</formula>
    </cfRule>
    <cfRule type="containsText" dxfId="38" priority="5" stopIfTrue="1" operator="containsText" text="Rischio Elevato">
      <formula>NOT(ISERROR(SEARCH("Rischio Elevato",P12)))</formula>
    </cfRule>
  </conditionalFormatting>
  <dataValidations count="2">
    <dataValidation type="list" allowBlank="1" showInputMessage="1" showErrorMessage="1" sqref="E14:E15 E25:E30 E21:E23" xr:uid="{B5086A4E-B1DB-4E54-B159-1F41A8AA21F2}">
      <formula1>SN</formula1>
    </dataValidation>
    <dataValidation type="list" allowBlank="1" showInputMessage="1" showErrorMessage="1" sqref="E13" xr:uid="{F9CFEB86-CE42-4E29-80CB-F51D56025FAE}">
      <formula1>PRESA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0" operator="containsText" id="{A6B3F129-182D-48F2-A2A7-00430E76C4C8}">
            <xm:f>NOT(ISERROR(SEARCH(Liste!$D$8,I25)))</xm:f>
            <xm:f>Liste!$D$8</xm:f>
            <x14:dxf>
              <font>
                <b/>
                <i val="0"/>
              </font>
              <fill>
                <patternFill>
                  <bgColor rgb="FF00B050"/>
                </patternFill>
              </fill>
            </x14:dxf>
          </x14:cfRule>
          <x14:cfRule type="containsText" priority="21" operator="containsText" id="{B087D091-E8C9-4E58-A435-2FA200554CF2}">
            <xm:f>NOT(ISERROR(SEARCH(Liste!$D$13,I25)))</xm:f>
            <xm:f>Liste!$D$13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m:sqref>I25:L25</xm:sqref>
        </x14:conditionalFormatting>
        <x14:conditionalFormatting xmlns:xm="http://schemas.microsoft.com/office/excel/2006/main">
          <x14:cfRule type="containsText" priority="17" operator="containsText" id="{CFD3AA71-0766-46DB-987C-F85221742D6B}">
            <xm:f>NOT(ISERROR(SEARCH(Liste!$D$8,J28)))</xm:f>
            <xm:f>Liste!$D$8</xm:f>
            <x14:dxf>
              <font>
                <b/>
                <i val="0"/>
              </font>
              <fill>
                <patternFill>
                  <bgColor rgb="FF00B050"/>
                </patternFill>
              </fill>
            </x14:dxf>
          </x14:cfRule>
          <x14:cfRule type="containsText" priority="18" operator="containsText" id="{BD63D235-3547-49F7-8D94-ED3B80651CA3}">
            <xm:f>NOT(ISERROR(SEARCH(Liste!$D$9,J28)))</xm:f>
            <xm:f>Liste!$D$9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19" operator="containsText" id="{412FA28B-2959-48C8-93D2-3DDE7C3DA870}">
            <xm:f>NOT(ISERROR(SEARCH(Liste!$D$10,J28)))</xm:f>
            <xm:f>Liste!$D$10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J28:J31</xm:sqref>
        </x14:conditionalFormatting>
        <x14:conditionalFormatting xmlns:xm="http://schemas.microsoft.com/office/excel/2006/main">
          <x14:cfRule type="containsText" priority="8" operator="containsText" id="{5DA4784B-B8F5-4F49-8730-AD820DC9AF93}">
            <xm:f>NOT(ISERROR(SEARCH(Liste!$D$15,J51)))</xm:f>
            <xm:f>Liste!$D$15</xm:f>
            <x14:dxf>
              <font>
                <b/>
                <i val="0"/>
              </font>
              <fill>
                <patternFill>
                  <bgColor rgb="FF00B050"/>
                </patternFill>
              </fill>
            </x14:dxf>
          </x14:cfRule>
          <xm:sqref>J51</xm:sqref>
        </x14:conditionalFormatting>
        <x14:conditionalFormatting xmlns:xm="http://schemas.microsoft.com/office/excel/2006/main">
          <x14:cfRule type="containsText" priority="6" operator="containsText" id="{1BB42F6C-255D-431F-B0AA-80330E6ABA70}">
            <xm:f>NOT(ISERROR(SEARCH(Liste!$D$7,J54)))</xm:f>
            <xm:f>Liste!$D$7</xm:f>
            <x14:dxf>
              <font>
                <b/>
                <i val="0"/>
              </font>
              <fill>
                <patternFill>
                  <bgColor rgb="FF00B050"/>
                </patternFill>
              </fill>
            </x14:dxf>
          </x14:cfRule>
          <x14:cfRule type="containsText" priority="7" operator="containsText" id="{55E7A84F-795F-45A2-85AD-34F6E8E3670C}">
            <xm:f>NOT(ISERROR(SEARCH(Liste!$D$11,J54)))</xm:f>
            <xm:f>Liste!$D$11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J54:L60</xm:sqref>
        </x14:conditionalFormatting>
        <x14:conditionalFormatting xmlns:xm="http://schemas.microsoft.com/office/excel/2006/main">
          <x14:cfRule type="containsText" priority="22" operator="containsText" id="{D24B782D-1789-4041-B33A-066528803074}">
            <xm:f>NOT(ISERROR(SEARCH(Liste!$D$5,K9)))</xm:f>
            <xm:f>Liste!$D$5</xm:f>
            <x14:dxf>
              <font>
                <b/>
                <i val="0"/>
              </font>
              <fill>
                <patternFill>
                  <bgColor rgb="FF00B050"/>
                </patternFill>
              </fill>
            </x14:dxf>
          </x14:cfRule>
          <x14:cfRule type="containsText" priority="23" operator="containsText" id="{572DC639-FADE-4924-A52C-BEB5E5D4E3C9}">
            <xm:f>NOT(ISERROR(SEARCH(Liste!$D$12,K9)))</xm:f>
            <xm:f>Liste!$D$12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m:sqref>K9:K12</xm:sqref>
        </x14:conditionalFormatting>
        <x14:conditionalFormatting xmlns:xm="http://schemas.microsoft.com/office/excel/2006/main">
          <x14:cfRule type="containsText" priority="10" operator="containsText" id="{726AC262-0C41-455A-A1BF-79B3E507FFE9}">
            <xm:f>NOT(ISERROR(SEARCH(Liste!$D$7,K45)))</xm:f>
            <xm:f>Liste!$D$7</xm:f>
            <x14:dxf>
              <font>
                <b/>
                <i val="0"/>
              </font>
              <fill>
                <patternFill>
                  <bgColor rgb="FF00B050"/>
                </patternFill>
              </fill>
            </x14:dxf>
          </x14:cfRule>
          <x14:cfRule type="containsText" priority="11" operator="containsText" id="{505C2F15-3F9C-46CD-A022-02356CC66403}">
            <xm:f>NOT(ISERROR(SEARCH(Liste!$D$14,K45)))</xm:f>
            <xm:f>Liste!$D$14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m:sqref>K45:K48</xm:sqref>
        </x14:conditionalFormatting>
        <x14:conditionalFormatting xmlns:xm="http://schemas.microsoft.com/office/excel/2006/main">
          <x14:cfRule type="containsText" priority="12" operator="containsText" id="{0A997626-1B99-40B4-88AE-2C50C07F71ED}">
            <xm:f>NOT(ISERROR(SEARCH(Liste!$I$4,L41)))</xm:f>
            <xm:f>Liste!$I$4</xm:f>
            <x14:dxf>
              <font>
                <b/>
                <i val="0"/>
              </font>
              <fill>
                <patternFill>
                  <bgColor rgb="FF00B050"/>
                </patternFill>
              </fill>
            </x14:dxf>
          </x14:cfRule>
          <x14:cfRule type="containsText" priority="13" operator="containsText" id="{90BF1403-A8E8-4142-BDEA-E0F67ED8F2B7}">
            <xm:f>NOT(ISERROR(SEARCH(Liste!$I$5,L41)))</xm:f>
            <xm:f>Liste!$I$5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14" operator="containsText" id="{EA4337F9-B104-4998-9D31-6D0C16977A81}">
            <xm:f>NOT(ISERROR(SEARCH(Liste!$I$6,L41)))</xm:f>
            <xm:f>Liste!$I$6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15" operator="containsText" id="{4045B202-6226-43B9-9B3F-EDD3F5A1C660}">
            <xm:f>NOT(ISERROR(SEARCH(Liste!$I$7,L41)))</xm:f>
            <xm:f>Liste!$I$7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6" operator="containsText" id="{2FEA40D0-71FA-4726-8277-205A5B57DEBD}">
            <xm:f>NOT(ISERROR(SEARCH(Liste!$I$8,L41)))</xm:f>
            <xm:f>Liste!$I$8</xm:f>
            <x14:dxf>
              <font>
                <b/>
                <i val="0"/>
                <color theme="0"/>
              </font>
              <fill>
                <patternFill>
                  <bgColor rgb="FF7030A0"/>
                </patternFill>
              </fill>
            </x14:dxf>
          </x14:cfRule>
          <xm:sqref>L41:L44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728FC-1713-4AA4-BF1A-0B48B38F74E3}">
  <dimension ref="A1:E60"/>
  <sheetViews>
    <sheetView zoomScaleNormal="100" workbookViewId="0">
      <selection activeCell="B1" sqref="B1:E1"/>
    </sheetView>
  </sheetViews>
  <sheetFormatPr defaultRowHeight="14.25" x14ac:dyDescent="0.45"/>
  <cols>
    <col min="1" max="1" width="13.33203125" customWidth="1"/>
    <col min="2" max="2" width="16.53125" customWidth="1"/>
    <col min="3" max="4" width="50.796875" customWidth="1"/>
    <col min="5" max="5" width="96.33203125" customWidth="1"/>
  </cols>
  <sheetData>
    <row r="1" spans="1:5" x14ac:dyDescent="0.45">
      <c r="A1" s="83" t="s">
        <v>39</v>
      </c>
      <c r="B1" s="169">
        <f>Dati!C2</f>
        <v>0</v>
      </c>
      <c r="C1" s="167"/>
      <c r="D1" s="167"/>
      <c r="E1" s="170"/>
    </row>
    <row r="2" spans="1:5" x14ac:dyDescent="0.45">
      <c r="A2" s="83" t="s">
        <v>37</v>
      </c>
      <c r="B2" s="169">
        <f>Dati!C3</f>
        <v>0</v>
      </c>
      <c r="C2" s="167"/>
      <c r="D2" s="167"/>
      <c r="E2" s="170"/>
    </row>
    <row r="3" spans="1:5" ht="57" customHeight="1" x14ac:dyDescent="0.45">
      <c r="A3" s="84" t="s">
        <v>191</v>
      </c>
      <c r="B3" s="171">
        <f>Dati!C4</f>
        <v>0</v>
      </c>
      <c r="C3" s="172"/>
      <c r="D3" s="172"/>
      <c r="E3" s="173"/>
    </row>
    <row r="6" spans="1:5" ht="28.5" x14ac:dyDescent="0.45">
      <c r="A6" s="76" t="s">
        <v>41</v>
      </c>
      <c r="B6" s="158" t="s">
        <v>188</v>
      </c>
      <c r="C6" s="158"/>
      <c r="D6" s="158"/>
      <c r="E6" s="159"/>
    </row>
    <row r="7" spans="1:5" ht="14.65" thickBot="1" x14ac:dyDescent="0.5">
      <c r="A7" s="35"/>
      <c r="B7" s="38"/>
      <c r="C7" s="38"/>
      <c r="D7" s="38"/>
      <c r="E7" s="38"/>
    </row>
    <row r="8" spans="1:5" ht="14.65" thickTop="1" x14ac:dyDescent="0.45">
      <c r="A8" s="55" t="s">
        <v>42</v>
      </c>
      <c r="B8" s="160" t="s">
        <v>43</v>
      </c>
      <c r="C8" s="160"/>
      <c r="D8" s="160"/>
      <c r="E8" s="160"/>
    </row>
    <row r="9" spans="1:5" x14ac:dyDescent="0.45">
      <c r="A9" s="35"/>
      <c r="B9" s="142" t="s">
        <v>189</v>
      </c>
      <c r="C9" s="60" t="s">
        <v>44</v>
      </c>
      <c r="D9" s="60" t="str">
        <f>Calcoli!E7</f>
        <v>VERIFICATA</v>
      </c>
      <c r="E9" s="67" t="str">
        <f>Calcoli!F7</f>
        <v/>
      </c>
    </row>
    <row r="10" spans="1:5" x14ac:dyDescent="0.45">
      <c r="A10" s="35"/>
      <c r="B10" s="143"/>
      <c r="C10" s="56" t="s">
        <v>200</v>
      </c>
      <c r="D10" s="56" t="str">
        <f>Calcoli!E8</f>
        <v>VERIFICATA</v>
      </c>
      <c r="E10" s="68" t="str">
        <f>Calcoli!F8</f>
        <v/>
      </c>
    </row>
    <row r="11" spans="1:5" x14ac:dyDescent="0.45">
      <c r="A11" s="35"/>
      <c r="B11" s="143"/>
      <c r="C11" s="56" t="s">
        <v>46</v>
      </c>
      <c r="D11" s="56" t="str">
        <f>Calcoli!E9</f>
        <v>VERIFICATA</v>
      </c>
      <c r="E11" s="68" t="str">
        <f>Calcoli!F9</f>
        <v/>
      </c>
    </row>
    <row r="12" spans="1:5" x14ac:dyDescent="0.45">
      <c r="A12" s="41"/>
      <c r="B12" s="144"/>
      <c r="C12" s="58" t="s">
        <v>201</v>
      </c>
      <c r="D12" s="58" t="str">
        <f>Calcoli!E10</f>
        <v>ADATTAMENTO NECESSARIO</v>
      </c>
      <c r="E12" s="69" t="str">
        <f>Calcoli!F10</f>
        <v>Ridurre i pesi sollevati in maniera immediata. Procedere con la valutazione.</v>
      </c>
    </row>
    <row r="13" spans="1:5" ht="14.65" thickBot="1" x14ac:dyDescent="0.5">
      <c r="A13" s="35"/>
      <c r="B13" s="38"/>
      <c r="C13" s="38"/>
      <c r="D13" s="38"/>
      <c r="E13" s="38"/>
    </row>
    <row r="14" spans="1:5" ht="14.65" thickTop="1" x14ac:dyDescent="0.45">
      <c r="A14" s="55" t="s">
        <v>64</v>
      </c>
      <c r="B14" s="160" t="s">
        <v>65</v>
      </c>
      <c r="C14" s="160"/>
      <c r="D14" s="160"/>
      <c r="E14" s="160"/>
    </row>
    <row r="15" spans="1:5" x14ac:dyDescent="0.45">
      <c r="A15" s="40" t="s">
        <v>66</v>
      </c>
      <c r="B15" s="38"/>
      <c r="C15" s="38"/>
      <c r="D15" s="38"/>
      <c r="E15" s="38"/>
    </row>
    <row r="16" spans="1:5" ht="30" customHeight="1" x14ac:dyDescent="0.45">
      <c r="A16" s="35"/>
      <c r="B16" s="142" t="s">
        <v>81</v>
      </c>
      <c r="C16" s="168" t="s">
        <v>67</v>
      </c>
      <c r="D16" s="168"/>
      <c r="E16" s="82" t="str">
        <f>Calcoli!E14</f>
        <v>SI</v>
      </c>
    </row>
    <row r="17" spans="1:5" ht="30" customHeight="1" x14ac:dyDescent="0.45">
      <c r="A17" s="35"/>
      <c r="B17" s="143"/>
      <c r="C17" s="163" t="s">
        <v>68</v>
      </c>
      <c r="D17" s="163"/>
      <c r="E17" s="74" t="str">
        <f>Calcoli!E15</f>
        <v>SI</v>
      </c>
    </row>
    <row r="18" spans="1:5" ht="30" customHeight="1" x14ac:dyDescent="0.45">
      <c r="A18" s="35"/>
      <c r="B18" s="143"/>
      <c r="C18" s="163" t="s">
        <v>69</v>
      </c>
      <c r="D18" s="163"/>
      <c r="E18" s="74" t="str">
        <f>Calcoli!E16</f>
        <v>SI</v>
      </c>
    </row>
    <row r="19" spans="1:5" ht="30" customHeight="1" x14ac:dyDescent="0.45">
      <c r="A19" s="35"/>
      <c r="B19" s="144"/>
      <c r="C19" s="164" t="s">
        <v>190</v>
      </c>
      <c r="D19" s="164"/>
      <c r="E19" s="75" t="str">
        <f>Calcoli!E17</f>
        <v>NO</v>
      </c>
    </row>
    <row r="20" spans="1:5" ht="14.45" customHeight="1" x14ac:dyDescent="0.45">
      <c r="A20" s="35"/>
      <c r="B20" s="38"/>
      <c r="C20" s="38"/>
      <c r="D20" s="34"/>
      <c r="E20" s="38"/>
    </row>
    <row r="21" spans="1:5" ht="14.45" customHeight="1" x14ac:dyDescent="0.45">
      <c r="A21" s="39" t="s">
        <v>71</v>
      </c>
      <c r="B21" s="38"/>
      <c r="C21" s="38"/>
      <c r="D21" s="34"/>
      <c r="E21" s="38"/>
    </row>
    <row r="22" spans="1:5" ht="28.5" x14ac:dyDescent="0.45">
      <c r="A22" s="35"/>
      <c r="B22" s="80" t="s">
        <v>82</v>
      </c>
      <c r="C22" s="81" t="s">
        <v>83</v>
      </c>
      <c r="D22" s="80" t="str">
        <f>Calcoli!E20</f>
        <v>VERIFICATA</v>
      </c>
      <c r="E22" s="81"/>
    </row>
    <row r="23" spans="1:5" ht="14.45" customHeight="1" x14ac:dyDescent="0.45">
      <c r="A23" s="35"/>
      <c r="B23" s="38"/>
      <c r="C23" s="38"/>
      <c r="D23" s="38"/>
      <c r="E23" s="38"/>
    </row>
    <row r="24" spans="1:5" ht="14.45" customHeight="1" x14ac:dyDescent="0.45">
      <c r="A24" s="77" t="s">
        <v>84</v>
      </c>
      <c r="B24" s="38"/>
      <c r="C24" s="38"/>
      <c r="D24" s="38"/>
      <c r="E24" s="38"/>
    </row>
    <row r="25" spans="1:5" ht="14.45" customHeight="1" x14ac:dyDescent="0.45">
      <c r="A25" s="78"/>
      <c r="B25" s="161" t="str">
        <f>Calcoli!C23</f>
        <v>Continuare la valutazione con il prospetto 3.</v>
      </c>
      <c r="C25" s="161"/>
      <c r="D25" s="161"/>
      <c r="E25" s="161"/>
    </row>
    <row r="26" spans="1:5" ht="14.45" customHeight="1" x14ac:dyDescent="0.45">
      <c r="A26" s="35"/>
      <c r="B26" s="38"/>
      <c r="C26" s="38"/>
      <c r="D26" s="38"/>
      <c r="E26" s="38"/>
    </row>
    <row r="27" spans="1:5" x14ac:dyDescent="0.45">
      <c r="A27" s="39" t="s">
        <v>85</v>
      </c>
      <c r="B27" s="38"/>
      <c r="C27" s="38"/>
      <c r="D27" s="38"/>
      <c r="E27" s="38"/>
    </row>
    <row r="28" spans="1:5" x14ac:dyDescent="0.45">
      <c r="A28" s="35"/>
      <c r="B28" s="60" t="s">
        <v>44</v>
      </c>
      <c r="C28" s="73" t="str">
        <f>Calcoli!D26</f>
        <v>RISCHIO ACCETTABILE NON CRITICO</v>
      </c>
      <c r="D28" s="162" t="str">
        <f>Calcoli!E26</f>
        <v>Procedere con la Fase 3</v>
      </c>
      <c r="E28" s="162"/>
    </row>
    <row r="29" spans="1:5" ht="28.5" x14ac:dyDescent="0.45">
      <c r="A29" s="35"/>
      <c r="B29" s="56" t="s">
        <v>200</v>
      </c>
      <c r="C29" s="57" t="str">
        <f>Calcoli!D27</f>
        <v>RISCHIO ACCETTABILE NON CRITICO</v>
      </c>
      <c r="D29" s="165" t="str">
        <f>Calcoli!E27</f>
        <v>Procedere con la Fase 3</v>
      </c>
      <c r="E29" s="165"/>
    </row>
    <row r="30" spans="1:5" x14ac:dyDescent="0.45">
      <c r="A30" s="35"/>
      <c r="B30" s="56" t="s">
        <v>46</v>
      </c>
      <c r="C30" s="57" t="str">
        <f>Calcoli!D28</f>
        <v>RISCHIO ACCETTABILE NON CRITICO</v>
      </c>
      <c r="D30" s="165" t="str">
        <f>Calcoli!E28</f>
        <v>Procedere con la Fase 3</v>
      </c>
      <c r="E30" s="165"/>
    </row>
    <row r="31" spans="1:5" ht="28.5" x14ac:dyDescent="0.45">
      <c r="A31" s="35"/>
      <c r="B31" s="58" t="s">
        <v>201</v>
      </c>
      <c r="C31" s="59" t="str">
        <f>Calcoli!D29</f>
        <v>EFFETTUARE MODIFICHE IMMEDIATE. PRESENZA DI CONDIZIONE CRITICA</v>
      </c>
      <c r="D31" s="166" t="str">
        <f>Calcoli!E29</f>
        <v>La MMC deve essere modificata adeguando la Progettazione del Lavoro in termini di Compito, Posto di Lavoro e Organizzazione del Lavoro; Progettazione dell'oggetto; Progettazione dell'ambiente lavorativo; Considerazioni sull'individuo; Informazione e Formazione.</v>
      </c>
      <c r="E31" s="166"/>
    </row>
    <row r="32" spans="1:5" x14ac:dyDescent="0.45">
      <c r="A32" s="35"/>
      <c r="B32" s="38"/>
      <c r="C32" s="38"/>
      <c r="D32" s="38"/>
      <c r="E32" s="38"/>
    </row>
    <row r="33" spans="1:5" x14ac:dyDescent="0.45">
      <c r="A33" s="39" t="s">
        <v>97</v>
      </c>
      <c r="B33" s="38"/>
      <c r="C33" s="38"/>
      <c r="D33" s="38"/>
      <c r="E33" s="38"/>
    </row>
    <row r="34" spans="1:5" ht="14.45" customHeight="1" x14ac:dyDescent="0.45">
      <c r="A34" s="35"/>
      <c r="B34" s="79" t="s">
        <v>109</v>
      </c>
      <c r="C34" s="167" t="str">
        <f>Calcoli!D32</f>
        <v>Baricentro del carico; Forma dell'oggetto; Superfici fredde o calde; Impugnatura impropria</v>
      </c>
      <c r="D34" s="167"/>
      <c r="E34" s="167"/>
    </row>
    <row r="35" spans="1:5" ht="14.65" thickBot="1" x14ac:dyDescent="0.5">
      <c r="A35" s="35"/>
      <c r="B35" s="38"/>
      <c r="C35" s="38"/>
      <c r="D35" s="38"/>
      <c r="E35" s="38"/>
    </row>
    <row r="36" spans="1:5" ht="15" customHeight="1" thickTop="1" x14ac:dyDescent="0.45">
      <c r="A36" s="55" t="s">
        <v>120</v>
      </c>
      <c r="B36" s="141" t="s">
        <v>121</v>
      </c>
      <c r="C36" s="141"/>
      <c r="D36" s="141"/>
      <c r="E36" s="141"/>
    </row>
    <row r="37" spans="1:5" x14ac:dyDescent="0.45">
      <c r="A37" s="35"/>
      <c r="B37" s="142" t="s">
        <v>149</v>
      </c>
      <c r="C37" s="60" t="s">
        <v>44</v>
      </c>
      <c r="D37" s="61">
        <f>Calcoli!E35</f>
        <v>21.860597499999997</v>
      </c>
      <c r="E37" s="38"/>
    </row>
    <row r="38" spans="1:5" x14ac:dyDescent="0.45">
      <c r="A38" s="35"/>
      <c r="B38" s="143"/>
      <c r="C38" s="56" t="s">
        <v>200</v>
      </c>
      <c r="D38" s="62">
        <f>Calcoli!E36</f>
        <v>17.488477999999997</v>
      </c>
      <c r="E38" s="38"/>
    </row>
    <row r="39" spans="1:5" x14ac:dyDescent="0.45">
      <c r="A39" s="35"/>
      <c r="B39" s="143"/>
      <c r="C39" s="56" t="s">
        <v>46</v>
      </c>
      <c r="D39" s="62">
        <f>Calcoli!E37</f>
        <v>17.488477999999997</v>
      </c>
      <c r="E39" s="38"/>
    </row>
    <row r="40" spans="1:5" x14ac:dyDescent="0.45">
      <c r="A40" s="35"/>
      <c r="B40" s="144"/>
      <c r="C40" s="58" t="s">
        <v>201</v>
      </c>
      <c r="D40" s="63">
        <f>Calcoli!E38</f>
        <v>13.116358499999999</v>
      </c>
      <c r="E40" s="42"/>
    </row>
    <row r="41" spans="1:5" x14ac:dyDescent="0.45">
      <c r="A41" s="35"/>
      <c r="B41" s="143" t="s">
        <v>150</v>
      </c>
      <c r="C41" s="60" t="s">
        <v>44</v>
      </c>
      <c r="D41" s="61">
        <f>Calcoli!E39</f>
        <v>0.91488807659534477</v>
      </c>
      <c r="E41" s="64" t="str">
        <f>Calcoli!F39</f>
        <v>Molto Basso</v>
      </c>
    </row>
    <row r="42" spans="1:5" x14ac:dyDescent="0.45">
      <c r="A42" s="35"/>
      <c r="B42" s="143"/>
      <c r="C42" s="56" t="s">
        <v>200</v>
      </c>
      <c r="D42" s="62">
        <f>Calcoli!E40</f>
        <v>1.143610095744181</v>
      </c>
      <c r="E42" s="65" t="str">
        <f>Calcoli!F40</f>
        <v>Basso</v>
      </c>
    </row>
    <row r="43" spans="1:5" x14ac:dyDescent="0.45">
      <c r="A43" s="35"/>
      <c r="B43" s="143"/>
      <c r="C43" s="56" t="s">
        <v>46</v>
      </c>
      <c r="D43" s="62">
        <f>Calcoli!E41</f>
        <v>1.143610095744181</v>
      </c>
      <c r="E43" s="65" t="str">
        <f>Calcoli!F41</f>
        <v>Basso</v>
      </c>
    </row>
    <row r="44" spans="1:5" x14ac:dyDescent="0.45">
      <c r="A44" s="35"/>
      <c r="B44" s="144"/>
      <c r="C44" s="58" t="s">
        <v>201</v>
      </c>
      <c r="D44" s="63">
        <f>Calcoli!E42</f>
        <v>1.5248134609922412</v>
      </c>
      <c r="E44" s="66" t="str">
        <f>Calcoli!F42</f>
        <v>Moderato</v>
      </c>
    </row>
    <row r="45" spans="1:5" x14ac:dyDescent="0.45">
      <c r="A45" s="35"/>
      <c r="B45" s="142" t="s">
        <v>84</v>
      </c>
      <c r="C45" s="60" t="s">
        <v>44</v>
      </c>
      <c r="D45" s="70" t="str">
        <f>Calcoli!E43</f>
        <v>Continuare con la Fase 4</v>
      </c>
      <c r="E45" s="67" t="str">
        <f>Calcoli!F43</f>
        <v>Nessuna azione necessaria in generale per la popolazione lavorativa sana.</v>
      </c>
    </row>
    <row r="46" spans="1:5" ht="23.25" x14ac:dyDescent="0.45">
      <c r="A46" s="35"/>
      <c r="B46" s="143"/>
      <c r="C46" s="56" t="s">
        <v>200</v>
      </c>
      <c r="D46" s="71" t="str">
        <f>Calcoli!E44</f>
        <v>Continuare con la Fase 4</v>
      </c>
      <c r="E46" s="68" t="str">
        <f>Calcoli!F44</f>
        <v>Prestare attenzione alle condizioni di bassa frequenza/alto carico e alle posture estreme o statiche. Includere tutti i fattori nella riprogettazione dei compiti o delle postazioni di lavoro e considerare ogni sforzo per abbassare i valori di LI &lt; 1,0.</v>
      </c>
    </row>
    <row r="47" spans="1:5" ht="23.25" x14ac:dyDescent="0.45">
      <c r="A47" s="35"/>
      <c r="B47" s="143"/>
      <c r="C47" s="56" t="s">
        <v>46</v>
      </c>
      <c r="D47" s="71" t="str">
        <f>Calcoli!E45</f>
        <v>Continuare con la Fase 4</v>
      </c>
      <c r="E47" s="68" t="str">
        <f>Calcoli!F45</f>
        <v>Prestare attenzione alle condizioni di bassa frequenza/alto carico e alle posture estreme o statiche. Includere tutti i fattori nella riprogettazione dei compiti o delle postazioni di lavoro e considerare ogni sforzo per abbassare i valori di LI &lt; 1,0.</v>
      </c>
    </row>
    <row r="48" spans="1:5" x14ac:dyDescent="0.45">
      <c r="A48" s="35"/>
      <c r="B48" s="144"/>
      <c r="C48" s="58" t="s">
        <v>201</v>
      </c>
      <c r="D48" s="72" t="str">
        <f>Calcoli!E46</f>
        <v>Continuare con la Fase 4</v>
      </c>
      <c r="E48" s="69" t="str">
        <f>Calcoli!F46</f>
        <v>Riprogettare i compiti e i posti di lavoro secondo le priorità per ridurre l'LI, successivamente analizzare i risultati per confermare l'efficacia.</v>
      </c>
    </row>
    <row r="49" spans="1:5" ht="14.65" thickBot="1" x14ac:dyDescent="0.5">
      <c r="A49" s="35"/>
      <c r="B49" s="38"/>
      <c r="C49" s="38"/>
      <c r="D49" s="38"/>
      <c r="E49" s="38"/>
    </row>
    <row r="50" spans="1:5" ht="15" customHeight="1" thickTop="1" x14ac:dyDescent="0.45">
      <c r="A50" s="55" t="s">
        <v>163</v>
      </c>
      <c r="B50" s="141" t="s">
        <v>164</v>
      </c>
      <c r="C50" s="141"/>
      <c r="D50" s="141"/>
      <c r="E50" s="141"/>
    </row>
    <row r="51" spans="1:5" ht="15.75" x14ac:dyDescent="0.45">
      <c r="A51" s="35"/>
      <c r="B51" s="81" t="s">
        <v>165</v>
      </c>
      <c r="C51" s="167" t="str">
        <f>Calcoli!D49</f>
        <v>Continuare con la Fase 5</v>
      </c>
      <c r="D51" s="167"/>
      <c r="E51" s="167"/>
    </row>
    <row r="52" spans="1:5" ht="14.65" thickBot="1" x14ac:dyDescent="0.5">
      <c r="A52" s="35"/>
      <c r="B52" s="38"/>
      <c r="C52" s="38"/>
      <c r="D52" s="38"/>
      <c r="E52" s="38"/>
    </row>
    <row r="53" spans="1:5" ht="15" customHeight="1" thickTop="1" x14ac:dyDescent="0.45">
      <c r="A53" s="55" t="s">
        <v>167</v>
      </c>
      <c r="B53" s="141" t="s">
        <v>168</v>
      </c>
      <c r="C53" s="141"/>
      <c r="D53" s="141"/>
      <c r="E53" s="141"/>
    </row>
    <row r="54" spans="1:5" ht="15.75" x14ac:dyDescent="0.45">
      <c r="A54" s="35"/>
      <c r="B54" s="60" t="s">
        <v>169</v>
      </c>
      <c r="C54" s="168" t="str">
        <f>Calcoli!D52</f>
        <v>ACCETTABILE</v>
      </c>
      <c r="D54" s="168"/>
      <c r="E54" s="168"/>
    </row>
    <row r="55" spans="1:5" ht="15.75" x14ac:dyDescent="0.45">
      <c r="A55" s="35"/>
      <c r="B55" s="56" t="s">
        <v>170</v>
      </c>
      <c r="C55" s="163" t="str">
        <f>Calcoli!D53</f>
        <v>ACCETTABILE</v>
      </c>
      <c r="D55" s="163"/>
      <c r="E55" s="163"/>
    </row>
    <row r="56" spans="1:5" ht="15.75" x14ac:dyDescent="0.45">
      <c r="A56" s="35"/>
      <c r="B56" s="56" t="s">
        <v>171</v>
      </c>
      <c r="C56" s="163" t="str">
        <f>Calcoli!D54</f>
        <v>ACCETTABILE</v>
      </c>
      <c r="D56" s="163"/>
      <c r="E56" s="163"/>
    </row>
    <row r="57" spans="1:5" ht="15.6" customHeight="1" x14ac:dyDescent="0.45">
      <c r="A57" s="35"/>
      <c r="B57" s="56" t="s">
        <v>172</v>
      </c>
      <c r="C57" s="163" t="str">
        <f>Calcoli!D55</f>
        <v>ACCETTABILE</v>
      </c>
      <c r="D57" s="163"/>
      <c r="E57" s="163"/>
    </row>
    <row r="58" spans="1:5" ht="15.6" customHeight="1" x14ac:dyDescent="0.45">
      <c r="A58" s="35"/>
      <c r="B58" s="56" t="s">
        <v>173</v>
      </c>
      <c r="C58" s="163" t="str">
        <f>Calcoli!D56</f>
        <v>ACCETTABILE</v>
      </c>
      <c r="D58" s="163"/>
      <c r="E58" s="163"/>
    </row>
    <row r="59" spans="1:5" ht="15.6" customHeight="1" x14ac:dyDescent="0.45">
      <c r="A59" s="35"/>
      <c r="B59" s="56" t="s">
        <v>174</v>
      </c>
      <c r="C59" s="163" t="str">
        <f>Calcoli!D57</f>
        <v>ACCETTABILE</v>
      </c>
      <c r="D59" s="163"/>
      <c r="E59" s="163"/>
    </row>
    <row r="60" spans="1:5" ht="15.6" customHeight="1" x14ac:dyDescent="0.45">
      <c r="A60" s="41"/>
      <c r="B60" s="58" t="s">
        <v>175</v>
      </c>
      <c r="C60" s="164" t="str">
        <f>Calcoli!D58</f>
        <v>NON VERIFICATA. LA MOVIMENTAZIONE DEVE ESSERE CON FREQUENZA O DURATA INFERIORE</v>
      </c>
      <c r="D60" s="164"/>
      <c r="E60" s="164"/>
    </row>
  </sheetData>
  <sheetProtection algorithmName="SHA-512" hashValue="qIPyJoVO31IXYuhT+Zt4wVOj7GFUBmPWrJS/whLuEBDJy6LNhG+CRfS5oaS5HCBK8q0HcrOMysWIcE6yRPwN7Q==" saltValue="gM9QMYc1Ic3UpyKaI57+Tg==" spinCount="100000" sheet="1" objects="1" scenarios="1" selectLockedCells="1" selectUnlockedCells="1"/>
  <mergeCells count="32">
    <mergeCell ref="B1:E1"/>
    <mergeCell ref="B2:E2"/>
    <mergeCell ref="B3:E3"/>
    <mergeCell ref="C16:D16"/>
    <mergeCell ref="C17:D17"/>
    <mergeCell ref="B6:E6"/>
    <mergeCell ref="B8:E8"/>
    <mergeCell ref="B14:E14"/>
    <mergeCell ref="B16:B19"/>
    <mergeCell ref="C54:E54"/>
    <mergeCell ref="B53:E53"/>
    <mergeCell ref="C51:E51"/>
    <mergeCell ref="B50:E50"/>
    <mergeCell ref="C55:E55"/>
    <mergeCell ref="C56:E56"/>
    <mergeCell ref="C57:E57"/>
    <mergeCell ref="C58:E58"/>
    <mergeCell ref="C59:E59"/>
    <mergeCell ref="C60:E60"/>
    <mergeCell ref="B41:B44"/>
    <mergeCell ref="B45:B48"/>
    <mergeCell ref="D29:E29"/>
    <mergeCell ref="D30:E30"/>
    <mergeCell ref="D31:E31"/>
    <mergeCell ref="C34:E34"/>
    <mergeCell ref="B36:E36"/>
    <mergeCell ref="B37:B40"/>
    <mergeCell ref="B25:E25"/>
    <mergeCell ref="D28:E28"/>
    <mergeCell ref="B9:B12"/>
    <mergeCell ref="C18:D18"/>
    <mergeCell ref="C19:D19"/>
  </mergeCells>
  <conditionalFormatting sqref="C51">
    <cfRule type="containsText" dxfId="31" priority="6" operator="containsText" text="MMC">
      <formula>NOT(ISERROR(SEARCH("MMC",C51)))</formula>
    </cfRule>
  </conditionalFormatting>
  <pageMargins left="0.7" right="0.7" top="0.75" bottom="0.75" header="0.3" footer="0.3"/>
  <pageSetup paperSize="9" scale="58" orientation="landscape" horizontalDpi="1200" verticalDpi="1200" r:id="rId1"/>
  <rowBreaks count="1" manualBreakCount="1">
    <brk id="35" max="4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0916AA0E-E46D-4923-BF61-F3574A7B6B9C}">
            <xm:f>NOT(ISERROR(SEARCH(Liste!$D$8,B25)))</xm:f>
            <xm:f>Liste!$D$8</xm:f>
            <x14:dxf>
              <font>
                <b/>
                <i val="0"/>
              </font>
              <fill>
                <patternFill>
                  <bgColor rgb="FF00B050"/>
                </patternFill>
              </fill>
            </x14:dxf>
          </x14:cfRule>
          <x14:cfRule type="containsText" priority="18" operator="containsText" id="{2C7C2BE5-EB67-47EF-B622-9711AAB622FC}">
            <xm:f>NOT(ISERROR(SEARCH(Liste!$D$13,B25)))</xm:f>
            <xm:f>Liste!$D$13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m:sqref>B25:E25</xm:sqref>
        </x14:conditionalFormatting>
        <x14:conditionalFormatting xmlns:xm="http://schemas.microsoft.com/office/excel/2006/main">
          <x14:cfRule type="containsText" priority="14" operator="containsText" id="{6C3E4943-F6F7-4781-8BBA-193A5A4C7D7F}">
            <xm:f>NOT(ISERROR(SEARCH(Liste!$D$8,C28)))</xm:f>
            <xm:f>Liste!$D$8</xm:f>
            <x14:dxf>
              <font>
                <b/>
                <i val="0"/>
              </font>
              <fill>
                <patternFill>
                  <bgColor rgb="FF00B050"/>
                </patternFill>
              </fill>
            </x14:dxf>
          </x14:cfRule>
          <x14:cfRule type="containsText" priority="15" operator="containsText" id="{6332B0D7-03A1-44B2-95BD-DFA1FC9EE914}">
            <xm:f>NOT(ISERROR(SEARCH(Liste!$D$9,C28)))</xm:f>
            <xm:f>Liste!$D$9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16" operator="containsText" id="{2A8F463F-6FE7-4D9F-80A2-F51F47CD37A0}">
            <xm:f>NOT(ISERROR(SEARCH(Liste!$D$10,C28)))</xm:f>
            <xm:f>Liste!$D$10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C28:C31</xm:sqref>
        </x14:conditionalFormatting>
        <x14:conditionalFormatting xmlns:xm="http://schemas.microsoft.com/office/excel/2006/main">
          <x14:cfRule type="containsText" priority="5" operator="containsText" id="{4A856E17-F8BF-43FB-9CB5-D2AC844BF804}">
            <xm:f>NOT(ISERROR(SEARCH(Liste!$D$15,C51)))</xm:f>
            <xm:f>Liste!$D$15</xm:f>
            <x14:dxf>
              <font>
                <b/>
                <i val="0"/>
              </font>
              <fill>
                <patternFill>
                  <bgColor rgb="FF00B050"/>
                </patternFill>
              </fill>
            </x14:dxf>
          </x14:cfRule>
          <xm:sqref>C51</xm:sqref>
        </x14:conditionalFormatting>
        <x14:conditionalFormatting xmlns:xm="http://schemas.microsoft.com/office/excel/2006/main">
          <x14:cfRule type="containsText" priority="3" operator="containsText" id="{CA8DBA81-B709-459C-B2F9-3637E6E9C48C}">
            <xm:f>NOT(ISERROR(SEARCH(Liste!$D$7,C54)))</xm:f>
            <xm:f>Liste!$D$7</xm:f>
            <x14:dxf>
              <font>
                <b/>
                <i val="0"/>
              </font>
              <fill>
                <patternFill>
                  <bgColor rgb="FF00B050"/>
                </patternFill>
              </fill>
            </x14:dxf>
          </x14:cfRule>
          <x14:cfRule type="containsText" priority="4" operator="containsText" id="{696699FC-C46A-415C-B40F-F45BC150F643}">
            <xm:f>NOT(ISERROR(SEARCH(Liste!$D$11,C54)))</xm:f>
            <xm:f>Liste!$D$11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C54:E60</xm:sqref>
        </x14:conditionalFormatting>
        <x14:conditionalFormatting xmlns:xm="http://schemas.microsoft.com/office/excel/2006/main">
          <x14:cfRule type="containsText" priority="19" operator="containsText" id="{D065EFA5-349B-46CA-9D5D-C792313F9377}">
            <xm:f>NOT(ISERROR(SEARCH(Liste!$D$5,D9)))</xm:f>
            <xm:f>Liste!$D$5</xm:f>
            <x14:dxf>
              <font>
                <b/>
                <i val="0"/>
              </font>
              <fill>
                <patternFill>
                  <bgColor rgb="FF00B050"/>
                </patternFill>
              </fill>
            </x14:dxf>
          </x14:cfRule>
          <x14:cfRule type="containsText" priority="20" operator="containsText" id="{80506A1E-07C2-4E43-92DC-9B06836D738D}">
            <xm:f>NOT(ISERROR(SEARCH(Liste!$D$12,D9)))</xm:f>
            <xm:f>Liste!$D$12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m:sqref>D9:D12</xm:sqref>
        </x14:conditionalFormatting>
        <x14:conditionalFormatting xmlns:xm="http://schemas.microsoft.com/office/excel/2006/main">
          <x14:cfRule type="containsText" priority="1" operator="containsText" id="{82759049-2BCD-4D99-BC80-D65F8DA2E0D4}">
            <xm:f>NOT(ISERROR(SEARCH(Liste!$D$7,D45)))</xm:f>
            <xm:f>Liste!$D$7</xm:f>
            <x14:dxf>
              <font>
                <b/>
                <i val="0"/>
              </font>
              <fill>
                <patternFill>
                  <bgColor rgb="FF00B050"/>
                </patternFill>
              </fill>
            </x14:dxf>
          </x14:cfRule>
          <x14:cfRule type="containsText" priority="2" operator="containsText" id="{67629049-7E88-4A2C-A1C5-B68EE8ECBC43}">
            <xm:f>NOT(ISERROR(SEARCH(Liste!$D$14,D45)))</xm:f>
            <xm:f>Liste!$D$14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m:sqref>D45:D48</xm:sqref>
        </x14:conditionalFormatting>
        <x14:conditionalFormatting xmlns:xm="http://schemas.microsoft.com/office/excel/2006/main">
          <x14:cfRule type="containsText" priority="9" operator="containsText" id="{0C8905CA-D8E4-4415-B04F-4C4DCD0D1644}">
            <xm:f>NOT(ISERROR(SEARCH(Liste!$I$4,E41)))</xm:f>
            <xm:f>Liste!$I$4</xm:f>
            <x14:dxf>
              <font>
                <b/>
                <i val="0"/>
              </font>
              <fill>
                <patternFill>
                  <bgColor rgb="FF00B050"/>
                </patternFill>
              </fill>
            </x14:dxf>
          </x14:cfRule>
          <x14:cfRule type="containsText" priority="10" operator="containsText" id="{DC411C82-040A-47BC-A3C0-A43ADF2D132C}">
            <xm:f>NOT(ISERROR(SEARCH(Liste!$I$5,E41)))</xm:f>
            <xm:f>Liste!$I$5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11" operator="containsText" id="{80DB4997-E28E-4727-9CCD-EC9F2822B2C9}">
            <xm:f>NOT(ISERROR(SEARCH(Liste!$I$6,E41)))</xm:f>
            <xm:f>Liste!$I$6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12" operator="containsText" id="{3399C0EA-D84A-4AC9-AEFB-6EC0B33801F5}">
            <xm:f>NOT(ISERROR(SEARCH(Liste!$I$7,E41)))</xm:f>
            <xm:f>Liste!$I$7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3" operator="containsText" id="{3308113B-5A5C-428A-87E9-45C6242B028F}">
            <xm:f>NOT(ISERROR(SEARCH(Liste!$I$8,E41)))</xm:f>
            <xm:f>Liste!$I$8</xm:f>
            <x14:dxf>
              <font>
                <b/>
                <i val="0"/>
                <color theme="0"/>
              </font>
              <fill>
                <patternFill>
                  <bgColor rgb="FF7030A0"/>
                </patternFill>
              </fill>
            </x14:dxf>
          </x14:cfRule>
          <xm:sqref>E41:E44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CFFF4-6A76-42AE-9C41-5EAAA330B770}">
  <dimension ref="A1:D14"/>
  <sheetViews>
    <sheetView zoomScaleNormal="100" workbookViewId="0">
      <selection sqref="A1:D1"/>
    </sheetView>
  </sheetViews>
  <sheetFormatPr defaultRowHeight="14.25" x14ac:dyDescent="0.45"/>
  <cols>
    <col min="1" max="1" width="22.19921875" bestFit="1" customWidth="1"/>
    <col min="2" max="2" width="8.46484375" customWidth="1"/>
    <col min="3" max="3" width="22.6640625" customWidth="1"/>
    <col min="4" max="4" width="49.46484375" customWidth="1"/>
  </cols>
  <sheetData>
    <row r="1" spans="1:4" ht="29.45" customHeight="1" thickTop="1" thickBot="1" x14ac:dyDescent="0.5">
      <c r="A1" s="174" t="s">
        <v>203</v>
      </c>
      <c r="B1" s="175"/>
      <c r="C1" s="175"/>
      <c r="D1" s="176"/>
    </row>
    <row r="2" spans="1:4" ht="14.65" thickTop="1" x14ac:dyDescent="0.45">
      <c r="A2" s="108"/>
      <c r="B2" s="109"/>
      <c r="C2" s="110"/>
      <c r="D2" s="111"/>
    </row>
    <row r="3" spans="1:4" ht="20" customHeight="1" x14ac:dyDescent="0.45">
      <c r="A3" s="115" t="s">
        <v>204</v>
      </c>
      <c r="B3" s="116">
        <f>Calcoli!I4</f>
        <v>21.814671874999998</v>
      </c>
      <c r="C3" s="117" t="s">
        <v>34</v>
      </c>
      <c r="D3" s="95"/>
    </row>
    <row r="4" spans="1:4" ht="20" customHeight="1" x14ac:dyDescent="0.45">
      <c r="A4" s="118" t="s">
        <v>220</v>
      </c>
      <c r="B4" s="119">
        <f>Calcoli!I5</f>
        <v>17.451737499999997</v>
      </c>
      <c r="C4" s="120" t="s">
        <v>34</v>
      </c>
      <c r="D4" s="95"/>
    </row>
    <row r="5" spans="1:4" ht="20" customHeight="1" x14ac:dyDescent="0.45">
      <c r="A5" s="118" t="s">
        <v>205</v>
      </c>
      <c r="B5" s="119">
        <f>Calcoli!I6</f>
        <v>17.451737499999997</v>
      </c>
      <c r="C5" s="120" t="s">
        <v>34</v>
      </c>
      <c r="D5" s="95"/>
    </row>
    <row r="6" spans="1:4" ht="20" customHeight="1" x14ac:dyDescent="0.45">
      <c r="A6" s="118" t="s">
        <v>221</v>
      </c>
      <c r="B6" s="119">
        <f>Calcoli!I7</f>
        <v>13.088803125</v>
      </c>
      <c r="C6" s="120" t="s">
        <v>34</v>
      </c>
      <c r="D6" s="113"/>
    </row>
    <row r="7" spans="1:4" x14ac:dyDescent="0.45">
      <c r="A7" s="96"/>
      <c r="D7" s="113"/>
    </row>
    <row r="8" spans="1:4" x14ac:dyDescent="0.45">
      <c r="A8" s="154" t="s">
        <v>206</v>
      </c>
      <c r="B8" s="155"/>
      <c r="C8" s="97" t="s">
        <v>207</v>
      </c>
      <c r="D8" s="98" t="s">
        <v>208</v>
      </c>
    </row>
    <row r="9" spans="1:4" ht="35" customHeight="1" x14ac:dyDescent="0.45">
      <c r="A9" s="121" t="s">
        <v>222</v>
      </c>
      <c r="B9" s="100">
        <f>Calcoli!I10</f>
        <v>0.91681415675659805</v>
      </c>
      <c r="C9" s="100" t="str">
        <f>Calcoli!J10</f>
        <v>Rischio Molto Basso</v>
      </c>
      <c r="D9" s="114" t="str">
        <f>Calcoli!K10</f>
        <v>Consigliato attivare la formazione e, a discrezione del medico, la sorveglianza sanitaria del personale addetto</v>
      </c>
    </row>
    <row r="10" spans="1:4" ht="35" customHeight="1" x14ac:dyDescent="0.45">
      <c r="A10" s="121" t="s">
        <v>223</v>
      </c>
      <c r="B10" s="100">
        <f>Calcoli!I11</f>
        <v>1.1460176959457478</v>
      </c>
      <c r="C10" s="100" t="str">
        <f>Calcoli!J11</f>
        <v>Rischio Basso</v>
      </c>
      <c r="D10" s="114" t="str">
        <f>Calcoli!K11</f>
        <v>Intervento di prevenzione organizzativa; sorveglianza sanitaria</v>
      </c>
    </row>
    <row r="11" spans="1:4" ht="35" customHeight="1" x14ac:dyDescent="0.45">
      <c r="A11" s="121" t="s">
        <v>225</v>
      </c>
      <c r="B11" s="100">
        <f>Calcoli!I12</f>
        <v>1.1460176959457478</v>
      </c>
      <c r="C11" s="100" t="str">
        <f>Calcoli!J12</f>
        <v>Rischio Basso</v>
      </c>
      <c r="D11" s="114" t="str">
        <f>Calcoli!K12</f>
        <v>Intervento di prevenzione organizzativa; sorveglianza sanitaria</v>
      </c>
    </row>
    <row r="12" spans="1:4" ht="35" customHeight="1" thickBot="1" x14ac:dyDescent="0.5">
      <c r="A12" s="122" t="s">
        <v>224</v>
      </c>
      <c r="B12" s="100">
        <f>Calcoli!I13</f>
        <v>1.5280235945943301</v>
      </c>
      <c r="C12" s="100" t="str">
        <f>Calcoli!J13</f>
        <v>Rischio Significativo</v>
      </c>
      <c r="D12" s="114" t="str">
        <f>Calcoli!K13</f>
        <v>Intervento programmato di prevenzione primaria tecnica e organizzativa; sorveglianza sanitaria</v>
      </c>
    </row>
    <row r="13" spans="1:4" ht="14.65" thickTop="1" x14ac:dyDescent="0.45">
      <c r="A13" s="156" t="s">
        <v>209</v>
      </c>
      <c r="B13" s="156"/>
      <c r="C13" s="156"/>
      <c r="D13" s="156"/>
    </row>
    <row r="14" spans="1:4" x14ac:dyDescent="0.45">
      <c r="A14" s="157" t="s">
        <v>210</v>
      </c>
      <c r="B14" s="157"/>
      <c r="C14" s="157"/>
      <c r="D14" s="157"/>
    </row>
  </sheetData>
  <sheetProtection algorithmName="SHA-512" hashValue="IyB9DH1nnj86K+UnS+hzaSyAB/a+WoeNnKf0dFX4HcuiSkF78+uFXkcSLggVY0ObwMUGNbkjqtjUl1QycCgmdQ==" saltValue="XwgaWP2HQhUs0MtAkWnF4g==" spinCount="100000" sheet="1" objects="1" scenarios="1" selectLockedCells="1" selectUnlockedCells="1"/>
  <mergeCells count="4">
    <mergeCell ref="A1:D1"/>
    <mergeCell ref="A8:B8"/>
    <mergeCell ref="A13:D13"/>
    <mergeCell ref="A14:D14"/>
  </mergeCells>
  <conditionalFormatting sqref="C9:C12">
    <cfRule type="containsText" dxfId="19" priority="1" stopIfTrue="1" operator="containsText" text="Rischio Accettabile">
      <formula>NOT(ISERROR(SEARCH("Rischio Accettabile",C9)))</formula>
    </cfRule>
    <cfRule type="containsText" dxfId="18" priority="2" stopIfTrue="1" operator="containsText" text="Rischio Molto Basso">
      <formula>NOT(ISERROR(SEARCH("Rischio Molto Basso",C9)))</formula>
    </cfRule>
    <cfRule type="containsText" dxfId="17" priority="3" stopIfTrue="1" operator="containsText" text="Rischio Basso">
      <formula>NOT(ISERROR(SEARCH("Rischio Basso",C9)))</formula>
    </cfRule>
    <cfRule type="containsText" dxfId="16" priority="4" stopIfTrue="1" operator="containsText" text="Rischio Significativo">
      <formula>NOT(ISERROR(SEARCH("Rischio Significativo",C9)))</formula>
    </cfRule>
    <cfRule type="containsText" dxfId="15" priority="5" stopIfTrue="1" operator="containsText" text="Rischio Elevato">
      <formula>NOT(ISERROR(SEARCH("Rischio Elevato",C9)))</formula>
    </cfRule>
  </conditionalFormatting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4DB9F-092C-4EB8-8C2F-5D9FE396A5A3}">
  <dimension ref="B1:AW152"/>
  <sheetViews>
    <sheetView workbookViewId="0">
      <selection activeCell="B2" sqref="B2"/>
    </sheetView>
  </sheetViews>
  <sheetFormatPr defaultRowHeight="14.25" x14ac:dyDescent="0.45"/>
  <cols>
    <col min="2" max="2" width="19" bestFit="1" customWidth="1"/>
    <col min="3" max="3" width="14.86328125" customWidth="1"/>
    <col min="4" max="4" width="31.86328125" customWidth="1"/>
    <col min="5" max="5" width="58.6640625" customWidth="1"/>
    <col min="6" max="6" width="43" customWidth="1"/>
    <col min="8" max="8" width="22.33203125" customWidth="1"/>
    <col min="9" max="10" width="21.46484375" customWidth="1"/>
    <col min="11" max="11" width="36.53125" customWidth="1"/>
    <col min="16" max="16" width="32.1328125" bestFit="1" customWidth="1"/>
    <col min="29" max="29" width="20.19921875" bestFit="1" customWidth="1"/>
    <col min="33" max="33" width="21.86328125" bestFit="1" customWidth="1"/>
    <col min="41" max="41" width="7.53125" bestFit="1" customWidth="1"/>
    <col min="42" max="42" width="9.46484375" bestFit="1" customWidth="1"/>
    <col min="46" max="46" width="10.1328125" customWidth="1"/>
    <col min="47" max="47" width="15" bestFit="1" customWidth="1"/>
    <col min="48" max="49" width="19.53125" bestFit="1" customWidth="1"/>
  </cols>
  <sheetData>
    <row r="1" spans="2:49" ht="16.149999999999999" thickBot="1" x14ac:dyDescent="0.6">
      <c r="Z1" t="s">
        <v>60</v>
      </c>
      <c r="AA1">
        <v>25</v>
      </c>
      <c r="AC1" s="184" t="s">
        <v>211</v>
      </c>
      <c r="AD1" s="185"/>
      <c r="AG1" s="184" t="s">
        <v>122</v>
      </c>
      <c r="AH1" s="185"/>
      <c r="AK1" s="186" t="s">
        <v>133</v>
      </c>
      <c r="AL1" s="186"/>
      <c r="AM1" s="186"/>
      <c r="AN1" s="186"/>
      <c r="AO1" s="186"/>
      <c r="AP1" s="186"/>
      <c r="AQ1" s="186"/>
      <c r="AT1" s="183" t="s">
        <v>218</v>
      </c>
      <c r="AU1" s="183"/>
      <c r="AV1" s="183"/>
      <c r="AW1" s="183"/>
    </row>
    <row r="2" spans="2:49" ht="16.5" thickTop="1" thickBot="1" x14ac:dyDescent="0.6">
      <c r="H2" s="151" t="s">
        <v>203</v>
      </c>
      <c r="I2" s="152"/>
      <c r="J2" s="152"/>
      <c r="K2" s="153"/>
      <c r="P2" s="7" t="s">
        <v>66</v>
      </c>
      <c r="Z2" t="s">
        <v>61</v>
      </c>
      <c r="AA2">
        <v>20</v>
      </c>
      <c r="AC2" s="15" t="s">
        <v>212</v>
      </c>
      <c r="AD2" s="106">
        <f>IF(OR(AA5&gt;175,AA5&lt;0),0,(1-0.003*ABS(AA5-75)))</f>
        <v>0.98499999999999999</v>
      </c>
      <c r="AG2" s="15" t="s">
        <v>123</v>
      </c>
      <c r="AH2" s="106">
        <f>IF((AA5/100)&lt;0,0,IF((AA5/100)&gt;1.75,0,1-0.3*ABS(0.75-(AA5/100))))</f>
        <v>0.98499999999999999</v>
      </c>
      <c r="AK2" s="186" t="s">
        <v>134</v>
      </c>
      <c r="AL2" s="186"/>
      <c r="AM2" s="186"/>
      <c r="AN2" s="186" t="s">
        <v>135</v>
      </c>
      <c r="AO2" s="183"/>
      <c r="AP2" s="186" t="s">
        <v>136</v>
      </c>
      <c r="AQ2" s="183"/>
      <c r="AT2" t="s">
        <v>219</v>
      </c>
      <c r="AU2" t="s">
        <v>134</v>
      </c>
      <c r="AV2" t="s">
        <v>135</v>
      </c>
      <c r="AW2" t="s">
        <v>136</v>
      </c>
    </row>
    <row r="3" spans="2:49" ht="16.149999999999999" thickTop="1" x14ac:dyDescent="0.55000000000000004">
      <c r="H3" s="108"/>
      <c r="I3" s="109"/>
      <c r="J3" s="110"/>
      <c r="K3" s="111"/>
      <c r="P3" t="str">
        <f>IF(AA10=0,Liste!$B$4,Liste!$B$5)</f>
        <v>SI</v>
      </c>
      <c r="Z3" t="s">
        <v>62</v>
      </c>
      <c r="AA3">
        <v>20</v>
      </c>
      <c r="AC3" s="102" t="s">
        <v>213</v>
      </c>
      <c r="AD3" s="103">
        <f>IF(AA6&lt;25,1,IF(AA6&gt;175,0,0.82+(4.5/AA6)))</f>
        <v>0.9325</v>
      </c>
      <c r="AG3" s="102" t="s">
        <v>124</v>
      </c>
      <c r="AH3" s="103">
        <f>IF(AA6&lt;25,1,IF(AA6&gt;175,0,0.82+(0.045/(AA6/100))))</f>
        <v>0.93249999999999988</v>
      </c>
      <c r="AK3" s="14" t="s">
        <v>8</v>
      </c>
      <c r="AL3" s="14" t="s">
        <v>137</v>
      </c>
      <c r="AM3" s="14" t="s">
        <v>138</v>
      </c>
      <c r="AN3" s="14" t="s">
        <v>137</v>
      </c>
      <c r="AO3" s="14" t="s">
        <v>138</v>
      </c>
      <c r="AP3" s="14" t="s">
        <v>137</v>
      </c>
      <c r="AQ3" s="14" t="s">
        <v>138</v>
      </c>
      <c r="AT3" s="27">
        <v>0.2</v>
      </c>
      <c r="AU3" s="27">
        <v>0.995</v>
      </c>
      <c r="AV3" s="27">
        <v>0.95000000000000007</v>
      </c>
      <c r="AW3" s="27">
        <v>0.84499999999999997</v>
      </c>
    </row>
    <row r="4" spans="2:49" ht="15.75" x14ac:dyDescent="0.55000000000000004">
      <c r="B4" s="7" t="s">
        <v>41</v>
      </c>
      <c r="C4" t="str">
        <f>IF(AA15&lt;3,"Il peso sollevato è inferiore a 3 Kg. Non è presente rischio da MMC","Il peso sollevato è superiore a 3 Kg. Procedere con la valutazione.")</f>
        <v>Il peso sollevato è superiore a 3 Kg. Procedere con la valutazione.</v>
      </c>
      <c r="H4" s="107" t="s">
        <v>204</v>
      </c>
      <c r="I4" s="112">
        <f>AA1*$AD$2*$AD$3*$AD$4*$AD$5*$AD$6*$AD$7</f>
        <v>21.814671874999998</v>
      </c>
      <c r="J4" t="s">
        <v>34</v>
      </c>
      <c r="K4" s="95"/>
      <c r="P4" t="str">
        <f>IF(AA7&lt;=30,Liste!$B$4,Liste!$B$5)</f>
        <v>SI</v>
      </c>
      <c r="Z4" t="s">
        <v>63</v>
      </c>
      <c r="AA4">
        <v>15</v>
      </c>
      <c r="AC4" s="102" t="s">
        <v>214</v>
      </c>
      <c r="AD4" s="103">
        <f>IF(AA7&lt;25,1,IF(AA7&gt;63,0,25/AA7))</f>
        <v>1</v>
      </c>
      <c r="AG4" s="102" t="s">
        <v>125</v>
      </c>
      <c r="AH4" s="103">
        <f>IF(AA7&lt;25,1,IF(AA7&gt;63,0,25/AA7))</f>
        <v>1</v>
      </c>
      <c r="AK4">
        <v>0.2</v>
      </c>
      <c r="AL4" s="27">
        <v>1</v>
      </c>
      <c r="AM4" s="27">
        <v>1</v>
      </c>
      <c r="AN4" s="27">
        <v>0.95000000000000007</v>
      </c>
      <c r="AO4" s="27">
        <v>0.95000000000000007</v>
      </c>
      <c r="AP4" s="27">
        <v>0.85333333333333339</v>
      </c>
      <c r="AQ4" s="27">
        <v>0.85333333333333339</v>
      </c>
      <c r="AT4" s="27">
        <v>0.3</v>
      </c>
      <c r="AU4" s="27">
        <v>0.98750000000000004</v>
      </c>
      <c r="AV4" s="27">
        <v>0.94125000000000003</v>
      </c>
      <c r="AW4" s="27">
        <v>0.83250000000000002</v>
      </c>
    </row>
    <row r="5" spans="2:49" ht="15.75" x14ac:dyDescent="0.55000000000000004">
      <c r="H5" s="107" t="s">
        <v>220</v>
      </c>
      <c r="I5" s="112">
        <f t="shared" ref="I5:I7" si="0">AA2*$AD$2*$AD$3*$AD$4*$AD$5*$AD$6*$AD$7</f>
        <v>17.451737499999997</v>
      </c>
      <c r="J5" t="s">
        <v>34</v>
      </c>
      <c r="K5" s="95"/>
      <c r="P5" t="str">
        <f>IF(AND(AA5&gt;=80,(AA5+AA6)&lt;=160),Liste!$B$4,Liste!$B$5)</f>
        <v>SI</v>
      </c>
      <c r="Z5" t="str">
        <f>Dati!B7</f>
        <v>v</v>
      </c>
      <c r="AA5">
        <f>Dati!E7</f>
        <v>80</v>
      </c>
      <c r="AC5" s="102" t="s">
        <v>215</v>
      </c>
      <c r="AD5" s="103">
        <f>IF(AA10&gt;135,0,1-(0.0032*AA10))</f>
        <v>1</v>
      </c>
      <c r="AG5" s="102" t="s">
        <v>126</v>
      </c>
      <c r="AH5" s="103">
        <f>IF(AA10&gt;135,0,1-(0.0032*AA10))</f>
        <v>1</v>
      </c>
      <c r="AK5">
        <v>0.3</v>
      </c>
      <c r="AL5" s="27">
        <v>0.99</v>
      </c>
      <c r="AM5" s="27">
        <v>0.99</v>
      </c>
      <c r="AN5" s="27">
        <v>0.94000000000000006</v>
      </c>
      <c r="AO5" s="27">
        <v>0.94000000000000006</v>
      </c>
      <c r="AP5" s="27">
        <v>0.84000000000000008</v>
      </c>
      <c r="AQ5" s="27">
        <v>0.84000000000000008</v>
      </c>
      <c r="AT5" s="27">
        <v>0.4</v>
      </c>
      <c r="AU5" s="27">
        <v>0.98</v>
      </c>
      <c r="AV5" s="27">
        <v>0.93250000000000011</v>
      </c>
      <c r="AW5" s="27">
        <v>0.82000000000000006</v>
      </c>
    </row>
    <row r="6" spans="2:49" ht="15.75" x14ac:dyDescent="0.55000000000000004">
      <c r="B6" s="7" t="s">
        <v>42</v>
      </c>
      <c r="C6" t="s">
        <v>43</v>
      </c>
      <c r="H6" s="107" t="s">
        <v>205</v>
      </c>
      <c r="I6" s="112">
        <f t="shared" si="0"/>
        <v>17.451737499999997</v>
      </c>
      <c r="J6" t="s">
        <v>34</v>
      </c>
      <c r="K6" s="95"/>
      <c r="P6" t="b">
        <f>AND(AA15&lt;=5,AA8&lt;=5)</f>
        <v>0</v>
      </c>
      <c r="Q6" t="str">
        <f>IF(AND(P6,P7,P8),Liste!B4,Liste!B5)</f>
        <v>NO</v>
      </c>
      <c r="Z6" t="str">
        <f>Dati!B8</f>
        <v>d</v>
      </c>
      <c r="AA6">
        <f>Dati!E8</f>
        <v>40</v>
      </c>
      <c r="AC6" s="102" t="s">
        <v>216</v>
      </c>
      <c r="AD6" s="104">
        <f>IF(AA8&lt;0.2,1,IF(E19&gt;15,0,IF(AA19=Liste!H7,VLOOKUP(AA8,AT3:AW151,2),IF(AA19=Liste!H8,VLOOKUP(AA8,AT3:AW151,3),IF(AA19=Liste!H9,VLOOKUP(AA8,AT3:AW151,4),)))))</f>
        <v>0.95</v>
      </c>
      <c r="AG6" s="102" t="s">
        <v>127</v>
      </c>
      <c r="AH6" s="103">
        <f>IF(AA8&lt;0.2,1,IF(AA8&gt;15,0,IF(AND(AA19=Liste!H7,AA5&lt;75),VLOOKUP(AA8,AK4:AQ152,2),IF(AND(AA19=Liste!H7,AA5&gt;=75),VLOOKUP(AA8,AK4:AQ152,3),IF(AND(AA19=Liste!H8,AA5&lt;75),VLOOKUP(AA8,AK4:AQ152,4),IF(AND(AA19=Liste!H8,AA5&gt;=75),VLOOKUP(AA8,AK4:AQ152,5),IF(AND(AA19=Liste!H9,AA5&lt;75),VLOOKUP(AA8,AK4:AQ152,6),IF(AND(AA19=Liste!H9,AA5&gt;=75),VLOOKUP(AA8,AK4:AQ152,7)))))))))</f>
        <v>0.95199999999999996</v>
      </c>
      <c r="AK6">
        <v>0.4</v>
      </c>
      <c r="AL6" s="27">
        <v>0.98</v>
      </c>
      <c r="AM6" s="27">
        <v>0.98</v>
      </c>
      <c r="AN6" s="27">
        <v>0.93</v>
      </c>
      <c r="AO6" s="27">
        <v>0.93</v>
      </c>
      <c r="AP6" s="27">
        <v>0.82666666666666677</v>
      </c>
      <c r="AQ6" s="27">
        <v>0.82666666666666677</v>
      </c>
      <c r="AT6" s="27">
        <v>0.5</v>
      </c>
      <c r="AU6" s="27">
        <v>0.97249999999999992</v>
      </c>
      <c r="AV6" s="27">
        <v>0.92375000000000007</v>
      </c>
      <c r="AW6" s="27">
        <v>0.8075</v>
      </c>
    </row>
    <row r="7" spans="2:49" ht="15.75" x14ac:dyDescent="0.55000000000000004">
      <c r="C7" s="177" t="s">
        <v>48</v>
      </c>
      <c r="D7" s="12" t="s">
        <v>44</v>
      </c>
      <c r="E7" s="4" t="str">
        <f>IF($AA$15&lt;=AA1,Liste!$D$5,Liste!$D$12)</f>
        <v>VERIFICATA</v>
      </c>
      <c r="F7" s="13" t="str">
        <f>IF(E7=Liste!$D$5,"",Liste!$E$4)</f>
        <v/>
      </c>
      <c r="H7" s="107" t="s">
        <v>221</v>
      </c>
      <c r="I7" s="112">
        <f t="shared" si="0"/>
        <v>13.088803125</v>
      </c>
      <c r="J7" t="s">
        <v>34</v>
      </c>
      <c r="K7" s="113"/>
      <c r="P7" t="b">
        <f>AND(AA15&lt;=10,AA8&lt;=1)</f>
        <v>0</v>
      </c>
      <c r="Z7" t="str">
        <f>Dati!B9</f>
        <v>h</v>
      </c>
      <c r="AA7">
        <f>Dati!E9</f>
        <v>20</v>
      </c>
      <c r="AC7" s="18" t="s">
        <v>217</v>
      </c>
      <c r="AD7" s="105">
        <f>IF(AA5&lt;75,IF(AA11="Buona",1,IF(AA11="Sufficiente",0.95,0.9)),IF(AA11="Buona",1,IF(AA11="Sufficiente",1,0.9)))</f>
        <v>1</v>
      </c>
      <c r="AG7" s="102" t="s">
        <v>128</v>
      </c>
      <c r="AH7" s="103">
        <f>IF(AA5&lt;75,IF(AA11="Buona",1,IF(AA11="Sufficiente",0.95,0.9)),IF(AA11="Buona",1,IF(AA11="Sufficiente",1,0.9)))</f>
        <v>1</v>
      </c>
      <c r="AK7">
        <v>0.5</v>
      </c>
      <c r="AL7" s="27">
        <v>0.97</v>
      </c>
      <c r="AM7" s="27">
        <v>0.97</v>
      </c>
      <c r="AN7" s="27">
        <v>0.91999999999999993</v>
      </c>
      <c r="AO7" s="27">
        <v>0.91999999999999993</v>
      </c>
      <c r="AP7" s="27">
        <v>0.81333333333333346</v>
      </c>
      <c r="AQ7" s="27">
        <v>0.81333333333333346</v>
      </c>
      <c r="AT7" s="27">
        <v>0.6</v>
      </c>
      <c r="AU7" s="27">
        <v>0.96499999999999997</v>
      </c>
      <c r="AV7" s="27">
        <v>0.91500000000000004</v>
      </c>
      <c r="AW7" s="27">
        <v>0.79500000000000004</v>
      </c>
    </row>
    <row r="8" spans="2:49" ht="15.75" x14ac:dyDescent="0.55000000000000004">
      <c r="C8" s="177"/>
      <c r="D8" s="12" t="s">
        <v>45</v>
      </c>
      <c r="E8" s="4" t="str">
        <f>IF($AA$15&lt;=AA2,Liste!$D$5,Liste!$D$12)</f>
        <v>VERIFICATA</v>
      </c>
      <c r="F8" s="13" t="str">
        <f>IF(E8=Liste!$D$5,"",Liste!$E$4)</f>
        <v/>
      </c>
      <c r="H8" s="96"/>
      <c r="K8" s="113"/>
      <c r="P8" t="b">
        <f>AA15&lt;=10</f>
        <v>0</v>
      </c>
      <c r="Z8" t="str">
        <f>Dati!B10</f>
        <v>f</v>
      </c>
      <c r="AA8">
        <f>Dati!E10</f>
        <v>0.8</v>
      </c>
      <c r="AG8" s="102" t="s">
        <v>129</v>
      </c>
      <c r="AH8" s="103">
        <f>IF(AA12="NO",1,0.6)</f>
        <v>1</v>
      </c>
      <c r="AK8">
        <v>0.6</v>
      </c>
      <c r="AL8" s="27">
        <v>0.96399999999999997</v>
      </c>
      <c r="AM8" s="27">
        <v>0.96399999999999997</v>
      </c>
      <c r="AN8" s="27">
        <v>0.91199999999999992</v>
      </c>
      <c r="AO8" s="27">
        <v>0.91199999999999992</v>
      </c>
      <c r="AP8" s="27">
        <v>0.80000000000000016</v>
      </c>
      <c r="AQ8" s="27">
        <v>0.80000000000000016</v>
      </c>
      <c r="AT8" s="27">
        <v>0.7</v>
      </c>
      <c r="AU8" s="27">
        <v>0.95750000000000002</v>
      </c>
      <c r="AV8" s="27">
        <v>0.90625000000000011</v>
      </c>
      <c r="AW8" s="27">
        <v>0.78249999999999997</v>
      </c>
    </row>
    <row r="9" spans="2:49" ht="15.75" x14ac:dyDescent="0.55000000000000004">
      <c r="C9" s="177"/>
      <c r="D9" s="12" t="s">
        <v>46</v>
      </c>
      <c r="E9" s="4" t="str">
        <f>IF($AA$15&lt;=AA3,Liste!$D$5,Liste!$D$12)</f>
        <v>VERIFICATA</v>
      </c>
      <c r="F9" s="13" t="str">
        <f>IF(E9=Liste!$D$5,"",Liste!$E$4)</f>
        <v/>
      </c>
      <c r="H9" s="154" t="s">
        <v>206</v>
      </c>
      <c r="I9" s="155"/>
      <c r="J9" s="97" t="s">
        <v>207</v>
      </c>
      <c r="K9" s="98" t="s">
        <v>208</v>
      </c>
      <c r="Z9" t="str">
        <f>Dati!B11</f>
        <v>D</v>
      </c>
      <c r="AA9">
        <f>Dati!E11</f>
        <v>10</v>
      </c>
      <c r="AG9" s="102" t="s">
        <v>130</v>
      </c>
      <c r="AH9" s="103">
        <f>IF(AA13="NO",1,0.85)</f>
        <v>1</v>
      </c>
      <c r="AK9">
        <v>0.7</v>
      </c>
      <c r="AL9" s="27">
        <v>0.95799999999999996</v>
      </c>
      <c r="AM9" s="27">
        <v>0.95799999999999996</v>
      </c>
      <c r="AN9" s="27">
        <v>0.90399999999999991</v>
      </c>
      <c r="AO9" s="27">
        <v>0.90399999999999991</v>
      </c>
      <c r="AP9" s="27">
        <v>0.78666666666666685</v>
      </c>
      <c r="AQ9" s="27">
        <v>0.78666666666666685</v>
      </c>
      <c r="AT9" s="27">
        <v>0.8</v>
      </c>
      <c r="AU9" s="27">
        <v>0.95</v>
      </c>
      <c r="AV9" s="27">
        <v>0.89750000000000008</v>
      </c>
      <c r="AW9" s="27">
        <v>0.77</v>
      </c>
    </row>
    <row r="10" spans="2:49" ht="34.9" x14ac:dyDescent="0.55000000000000004">
      <c r="C10" s="177"/>
      <c r="D10" s="12" t="s">
        <v>47</v>
      </c>
      <c r="E10" s="4" t="str">
        <f>IF($AA$15&lt;=AA4,Liste!$D$5,Liste!$D$12)</f>
        <v>ADATTAMENTO NECESSARIO</v>
      </c>
      <c r="F10" s="13" t="str">
        <f>IF(E10=Liste!$D$5,"",Liste!$E$4)</f>
        <v>Ridurre i pesi sollevati in maniera immediata. Procedere con la valutazione.</v>
      </c>
      <c r="H10" s="99" t="s">
        <v>222</v>
      </c>
      <c r="I10" s="100">
        <f>IF(I4=0,1000,$AA$15/I4)</f>
        <v>0.91681415675659805</v>
      </c>
      <c r="J10" s="100" t="str">
        <f>IF(I10&lt;=0.85,"Rischio Accettabile",IF(I10&lt;1,"Rischio Molto Basso",IF(I10&lt;1.25,"Rischio Basso",IF(I10&lt;3,"Rischio Significativo","Rischio Elevato"))))</f>
        <v>Rischio Molto Basso</v>
      </c>
      <c r="K10" s="114" t="str">
        <f>IF(I10&lt;=0.85,Liste!$K$4,IF(I10&lt;1,Liste!$K$5,IF(I10&lt;1.25,Liste!$K$6,IF(I10&lt;3,Liste!$K$7,IF(I10&gt;=3,Liste!$K$8,Liste!$K$8)))))</f>
        <v>Consigliato attivare la formazione e, a discrezione del medico, la sorveglianza sanitaria del personale addetto</v>
      </c>
      <c r="P10" s="7" t="s">
        <v>71</v>
      </c>
      <c r="Z10" t="str">
        <f>Dati!B12</f>
        <v>α</v>
      </c>
      <c r="AA10">
        <f>Dati!E12</f>
        <v>0</v>
      </c>
      <c r="AG10" s="18" t="s">
        <v>131</v>
      </c>
      <c r="AH10" s="105">
        <f>IF(AA14&lt;=8,1,IF(AA14&lt;=9,0.97,IF(AA14&lt;=10,0.93,IF(AA14&lt;=11,0.89,0.85))))</f>
        <v>1</v>
      </c>
      <c r="AK10">
        <v>0.8</v>
      </c>
      <c r="AL10" s="27">
        <v>0.95199999999999996</v>
      </c>
      <c r="AM10" s="27">
        <v>0.95199999999999996</v>
      </c>
      <c r="AN10" s="27">
        <v>0.89599999999999991</v>
      </c>
      <c r="AO10" s="27">
        <v>0.89599999999999991</v>
      </c>
      <c r="AP10" s="27">
        <v>0.77333333333333354</v>
      </c>
      <c r="AQ10" s="27">
        <v>0.77333333333333354</v>
      </c>
      <c r="AT10" s="27">
        <v>0.9</v>
      </c>
      <c r="AU10" s="27">
        <v>0.94249999999999989</v>
      </c>
      <c r="AV10" s="27">
        <v>0.88875000000000004</v>
      </c>
      <c r="AW10" s="27">
        <v>0.75750000000000006</v>
      </c>
    </row>
    <row r="11" spans="2:49" ht="23.25" x14ac:dyDescent="0.45">
      <c r="H11" s="99" t="s">
        <v>223</v>
      </c>
      <c r="I11" s="100">
        <f t="shared" ref="I11:I13" si="1">IF(I5=0,1000,$AA$15/I5)</f>
        <v>1.1460176959457478</v>
      </c>
      <c r="J11" s="100" t="str">
        <f t="shared" ref="J11:J13" si="2">IF(I11&lt;=0.85,"Rischio Accettabile",IF(I11&lt;1,"Rischio Molto Basso",IF(I11&lt;1.25,"Rischio Basso",IF(I11&lt;3,"Rischio Significativo","Rischio Elevato"))))</f>
        <v>Rischio Basso</v>
      </c>
      <c r="K11" s="114" t="str">
        <f>IF(I11&lt;=0.85,Liste!$K$4,IF(I11&lt;1,Liste!$K$5,IF(I11&lt;1.25,Liste!$K$6,IF(I11&lt;3,Liste!$K$7,IF(I11&gt;=3,Liste!$K$8,Liste!$K$8)))))</f>
        <v>Intervento di prevenzione organizzativa; sorveglianza sanitaria</v>
      </c>
      <c r="P11" t="s">
        <v>72</v>
      </c>
      <c r="Q11">
        <f>IF(AA9&lt;=1,4,IF(AA9&lt;=60,3,IF(AA9&lt;=240,2,1)))</f>
        <v>3</v>
      </c>
      <c r="S11">
        <v>4800</v>
      </c>
      <c r="T11">
        <v>3600</v>
      </c>
      <c r="Z11" t="str">
        <f>Dati!B13</f>
        <v>c</v>
      </c>
      <c r="AA11" t="str">
        <f>Dati!E13</f>
        <v>Buona</v>
      </c>
      <c r="AK11">
        <v>0.9</v>
      </c>
      <c r="AL11" s="27">
        <v>0.94599999999999995</v>
      </c>
      <c r="AM11" s="27">
        <v>0.94599999999999995</v>
      </c>
      <c r="AN11" s="27">
        <v>0.8879999999999999</v>
      </c>
      <c r="AO11" s="27">
        <v>0.8879999999999999</v>
      </c>
      <c r="AP11" s="27">
        <v>0.76000000000000023</v>
      </c>
      <c r="AQ11" s="27">
        <v>0.76000000000000023</v>
      </c>
      <c r="AT11" s="27">
        <v>1</v>
      </c>
      <c r="AU11" s="27">
        <v>0.93666666666666665</v>
      </c>
      <c r="AV11" s="27">
        <v>0.87666666666666671</v>
      </c>
      <c r="AW11" s="27">
        <v>0.75</v>
      </c>
    </row>
    <row r="12" spans="2:49" ht="23.25" x14ac:dyDescent="0.45">
      <c r="B12" s="7" t="s">
        <v>64</v>
      </c>
      <c r="C12" s="182" t="s">
        <v>65</v>
      </c>
      <c r="D12" s="182"/>
      <c r="E12" s="182"/>
      <c r="F12" s="182"/>
      <c r="H12" s="99" t="s">
        <v>225</v>
      </c>
      <c r="I12" s="100">
        <f t="shared" si="1"/>
        <v>1.1460176959457478</v>
      </c>
      <c r="J12" s="100" t="str">
        <f t="shared" si="2"/>
        <v>Rischio Basso</v>
      </c>
      <c r="K12" s="114" t="str">
        <f>IF(I12&lt;=0.85,Liste!$K$4,IF(I12&lt;1,Liste!$K$5,IF(I12&lt;1.25,Liste!$K$6,IF(I12&lt;3,Liste!$K$7,IF(I12&gt;=3,Liste!$K$8,Liste!$K$8)))))</f>
        <v>Intervento di prevenzione organizzativa; sorveglianza sanitaria</v>
      </c>
      <c r="P12" t="s">
        <v>78</v>
      </c>
      <c r="Q12">
        <f>IF(AA16&lt;=5,1,2)</f>
        <v>1</v>
      </c>
      <c r="S12">
        <v>4000</v>
      </c>
      <c r="T12">
        <v>3000</v>
      </c>
      <c r="Z12" t="str">
        <f>Dati!B14</f>
        <v>o</v>
      </c>
      <c r="AA12" t="str">
        <f>Dati!E14</f>
        <v>NO</v>
      </c>
      <c r="AK12">
        <v>1</v>
      </c>
      <c r="AL12" s="27">
        <v>0.94000000000000006</v>
      </c>
      <c r="AM12" s="27">
        <v>0.94000000000000006</v>
      </c>
      <c r="AN12" s="27">
        <v>0.88</v>
      </c>
      <c r="AO12" s="27">
        <v>0.88</v>
      </c>
      <c r="AP12" s="27">
        <v>0.75</v>
      </c>
      <c r="AQ12" s="27">
        <v>0.75</v>
      </c>
      <c r="AT12" s="27">
        <v>1.1000000000000001</v>
      </c>
      <c r="AU12" s="27">
        <v>0.93333333333333335</v>
      </c>
      <c r="AV12" s="27">
        <v>0.8713333333333334</v>
      </c>
      <c r="AW12" s="27">
        <v>0.74</v>
      </c>
    </row>
    <row r="13" spans="2:49" ht="45.4" thickBot="1" x14ac:dyDescent="0.6">
      <c r="B13" t="s">
        <v>66</v>
      </c>
      <c r="C13" s="5"/>
      <c r="D13" s="5"/>
      <c r="E13" s="5"/>
      <c r="F13" s="5"/>
      <c r="H13" s="101" t="s">
        <v>224</v>
      </c>
      <c r="I13" s="100">
        <f t="shared" si="1"/>
        <v>1.5280235945943301</v>
      </c>
      <c r="J13" s="100" t="str">
        <f t="shared" si="2"/>
        <v>Rischio Significativo</v>
      </c>
      <c r="K13" s="114" t="str">
        <f>IF(I13&lt;=0.85,Liste!$K$4,IF(I13&lt;1,Liste!$K$5,IF(I13&lt;1.25,Liste!$K$6,IF(I13&lt;3,Liste!$K$7,IF(I13&gt;=3,Liste!$K$8,Liste!$K$8)))))</f>
        <v>Intervento programmato di prevenzione primaria tecnica e organizzativa; sorveglianza sanitaria</v>
      </c>
      <c r="P13" t="s">
        <v>79</v>
      </c>
      <c r="Q13">
        <f>IF(AND(Q11=1,Q12=1),4800,IF(AND(Q11=1,Q12=2),3600,IF(AND(Q11=2,Q12=1),4000,IF(AND(Q11=2,Q12=2),3000,IF(AND(Q11=3,Q12=1),2000,IF(AND(Q11=3,Q12=2),1500,IF(AND(Q11=4,Q12=1),60,IF(AND(Q11=4,Q12=2),45))))))))</f>
        <v>2000</v>
      </c>
      <c r="S13">
        <v>2000</v>
      </c>
      <c r="T13">
        <v>1500</v>
      </c>
      <c r="Z13" t="str">
        <f>Dati!B15</f>
        <v>p</v>
      </c>
      <c r="AA13" t="str">
        <f>Dati!E15</f>
        <v>NO</v>
      </c>
      <c r="AG13" t="s">
        <v>165</v>
      </c>
      <c r="AH13">
        <f>AA15*AA8*AA9</f>
        <v>160</v>
      </c>
      <c r="AI13" s="31" t="s">
        <v>176</v>
      </c>
      <c r="AJ13" s="31" t="s">
        <v>183</v>
      </c>
      <c r="AK13">
        <v>1.1000000000000001</v>
      </c>
      <c r="AL13" s="27">
        <v>0.93700000000000006</v>
      </c>
      <c r="AM13" s="27">
        <v>0.93700000000000006</v>
      </c>
      <c r="AN13" s="27">
        <v>0.876</v>
      </c>
      <c r="AO13" s="27">
        <v>0.876</v>
      </c>
      <c r="AP13" s="27">
        <v>0.74</v>
      </c>
      <c r="AQ13" s="27">
        <v>0.74</v>
      </c>
      <c r="AT13" s="27">
        <v>1.2</v>
      </c>
      <c r="AU13" s="27">
        <v>0.92999999999999994</v>
      </c>
      <c r="AV13" s="27">
        <v>0.86599999999999999</v>
      </c>
      <c r="AW13" s="27">
        <v>0.73</v>
      </c>
    </row>
    <row r="14" spans="2:49" ht="25.15" thickTop="1" x14ac:dyDescent="0.55000000000000004">
      <c r="C14" s="181" t="s">
        <v>81</v>
      </c>
      <c r="D14" s="11" t="s">
        <v>67</v>
      </c>
      <c r="E14" s="2" t="str">
        <f>P3</f>
        <v>SI</v>
      </c>
      <c r="H14" s="156" t="s">
        <v>209</v>
      </c>
      <c r="I14" s="156"/>
      <c r="J14" s="156"/>
      <c r="K14" s="156"/>
      <c r="P14" t="s">
        <v>80</v>
      </c>
      <c r="Q14">
        <f>AA15*AA8*AA16</f>
        <v>16</v>
      </c>
      <c r="S14">
        <v>60</v>
      </c>
      <c r="T14">
        <v>45</v>
      </c>
      <c r="Z14" t="str">
        <f>Dati!B16</f>
        <v>e</v>
      </c>
      <c r="AA14">
        <f>Dati!E16</f>
        <v>0</v>
      </c>
      <c r="AG14" t="s">
        <v>169</v>
      </c>
      <c r="AH14">
        <f>AA15*AA8</f>
        <v>16</v>
      </c>
      <c r="AI14" s="29">
        <v>75</v>
      </c>
      <c r="AJ14" s="32">
        <f t="shared" ref="AJ14:AJ20" si="3">AI14*$AJ$22</f>
        <v>75</v>
      </c>
      <c r="AK14">
        <v>1.2</v>
      </c>
      <c r="AL14" s="27">
        <v>0.93400000000000005</v>
      </c>
      <c r="AM14" s="27">
        <v>0.93400000000000005</v>
      </c>
      <c r="AN14" s="27">
        <v>0.872</v>
      </c>
      <c r="AO14" s="27">
        <v>0.872</v>
      </c>
      <c r="AP14" s="27">
        <v>0.73</v>
      </c>
      <c r="AQ14" s="27">
        <v>0.73</v>
      </c>
      <c r="AT14" s="27">
        <v>1.3</v>
      </c>
      <c r="AU14" s="27">
        <v>0.92666666666666664</v>
      </c>
      <c r="AV14" s="27">
        <v>0.86066666666666669</v>
      </c>
      <c r="AW14" s="27">
        <v>0.72</v>
      </c>
    </row>
    <row r="15" spans="2:49" ht="36.4" x14ac:dyDescent="0.55000000000000004">
      <c r="C15" s="181"/>
      <c r="D15" s="11" t="s">
        <v>68</v>
      </c>
      <c r="E15" s="2" t="str">
        <f>P4</f>
        <v>SI</v>
      </c>
      <c r="H15" s="157" t="s">
        <v>210</v>
      </c>
      <c r="I15" s="157"/>
      <c r="J15" s="157"/>
      <c r="K15" s="157"/>
      <c r="P15" t="s">
        <v>166</v>
      </c>
      <c r="Q15">
        <f>AA15*AA8*AA9</f>
        <v>160</v>
      </c>
      <c r="Z15" t="str">
        <f>Dati!B17</f>
        <v>P</v>
      </c>
      <c r="AA15">
        <f>Dati!E17</f>
        <v>20</v>
      </c>
      <c r="AG15" t="s">
        <v>170</v>
      </c>
      <c r="AH15">
        <f>$AH$14*60</f>
        <v>960</v>
      </c>
      <c r="AI15" s="29">
        <v>2500</v>
      </c>
      <c r="AJ15" s="32">
        <f t="shared" si="3"/>
        <v>2500</v>
      </c>
      <c r="AK15">
        <v>1.3</v>
      </c>
      <c r="AL15" s="27">
        <v>0.93100000000000005</v>
      </c>
      <c r="AM15" s="27">
        <v>0.93100000000000005</v>
      </c>
      <c r="AN15" s="27">
        <v>0.86799999999999999</v>
      </c>
      <c r="AO15" s="27">
        <v>0.86799999999999999</v>
      </c>
      <c r="AP15" s="27">
        <v>0.72</v>
      </c>
      <c r="AQ15" s="27">
        <v>0.72</v>
      </c>
      <c r="AT15" s="27">
        <v>1.4</v>
      </c>
      <c r="AU15" s="27">
        <v>0.92333333333333334</v>
      </c>
      <c r="AV15" s="27">
        <v>0.85533333333333339</v>
      </c>
      <c r="AW15" s="27">
        <v>0.71</v>
      </c>
    </row>
    <row r="16" spans="2:49" ht="24.75" x14ac:dyDescent="0.55000000000000004">
      <c r="C16" s="181"/>
      <c r="D16" s="11" t="s">
        <v>69</v>
      </c>
      <c r="E16" s="2" t="str">
        <f>P5</f>
        <v>SI</v>
      </c>
      <c r="Z16" t="str">
        <f>Dati!B18</f>
        <v>dist</v>
      </c>
      <c r="AA16">
        <f>Dati!E18</f>
        <v>1</v>
      </c>
      <c r="AG16" t="s">
        <v>171</v>
      </c>
      <c r="AH16">
        <f>$AH$14*120</f>
        <v>1920</v>
      </c>
      <c r="AI16" s="29">
        <v>3400</v>
      </c>
      <c r="AJ16" s="32">
        <f t="shared" si="3"/>
        <v>3400</v>
      </c>
      <c r="AK16">
        <v>1.4</v>
      </c>
      <c r="AL16" s="27">
        <v>0.92800000000000005</v>
      </c>
      <c r="AM16" s="27">
        <v>0.92800000000000005</v>
      </c>
      <c r="AN16" s="27">
        <v>0.86399999999999999</v>
      </c>
      <c r="AO16" s="27">
        <v>0.86399999999999999</v>
      </c>
      <c r="AP16" s="27">
        <v>0.71</v>
      </c>
      <c r="AQ16" s="27">
        <v>0.71</v>
      </c>
      <c r="AT16" s="27">
        <v>1.5</v>
      </c>
      <c r="AU16" s="27">
        <v>0.91999999999999993</v>
      </c>
      <c r="AV16" s="27">
        <v>0.85000000000000009</v>
      </c>
      <c r="AW16" s="27">
        <v>0.7</v>
      </c>
    </row>
    <row r="17" spans="2:49" ht="15.75" x14ac:dyDescent="0.55000000000000004">
      <c r="C17" s="181"/>
      <c r="D17" s="11" t="s">
        <v>70</v>
      </c>
      <c r="E17" s="2" t="str">
        <f>Q6</f>
        <v>NO</v>
      </c>
      <c r="Z17" t="str">
        <f>Dati!B19</f>
        <v>t</v>
      </c>
      <c r="AA17">
        <f>Dati!E19</f>
        <v>140</v>
      </c>
      <c r="AG17" t="s">
        <v>172</v>
      </c>
      <c r="AH17">
        <f>$AH$14*180</f>
        <v>2880</v>
      </c>
      <c r="AI17" s="29">
        <v>4200</v>
      </c>
      <c r="AJ17" s="32">
        <f t="shared" si="3"/>
        <v>4200</v>
      </c>
      <c r="AK17">
        <v>1.5</v>
      </c>
      <c r="AL17" s="27">
        <v>0.92500000000000004</v>
      </c>
      <c r="AM17" s="27">
        <v>0.92500000000000004</v>
      </c>
      <c r="AN17" s="27">
        <v>0.86</v>
      </c>
      <c r="AO17" s="27">
        <v>0.86</v>
      </c>
      <c r="AP17" s="27">
        <v>0.7</v>
      </c>
      <c r="AQ17" s="27">
        <v>0.7</v>
      </c>
      <c r="AT17" s="27">
        <v>1.6</v>
      </c>
      <c r="AU17" s="27">
        <v>0.91666666666666663</v>
      </c>
      <c r="AV17" s="27">
        <v>0.84466666666666668</v>
      </c>
      <c r="AW17" s="27">
        <v>0.69</v>
      </c>
    </row>
    <row r="18" spans="2:49" ht="15.75" x14ac:dyDescent="0.55000000000000004">
      <c r="P18" s="7" t="s">
        <v>85</v>
      </c>
      <c r="AG18" t="s">
        <v>173</v>
      </c>
      <c r="AH18">
        <f>$AH$14*240</f>
        <v>3840</v>
      </c>
      <c r="AI18" s="29">
        <v>5000</v>
      </c>
      <c r="AJ18" s="32">
        <f t="shared" si="3"/>
        <v>5000</v>
      </c>
      <c r="AK18">
        <v>1.6</v>
      </c>
      <c r="AL18" s="27">
        <v>0.92200000000000015</v>
      </c>
      <c r="AM18" s="27">
        <v>0.92200000000000015</v>
      </c>
      <c r="AN18" s="27">
        <v>0.85599999999999998</v>
      </c>
      <c r="AO18" s="27">
        <v>0.85599999999999998</v>
      </c>
      <c r="AP18" s="27">
        <v>0.69</v>
      </c>
      <c r="AQ18" s="27">
        <v>0.69</v>
      </c>
      <c r="AT18" s="27">
        <v>1.7</v>
      </c>
      <c r="AU18" s="27">
        <v>0.91333333333333333</v>
      </c>
      <c r="AV18" s="27">
        <v>0.83933333333333338</v>
      </c>
      <c r="AW18" s="27">
        <v>0.67999999999999994</v>
      </c>
    </row>
    <row r="19" spans="2:49" ht="15.75" x14ac:dyDescent="0.55000000000000004">
      <c r="B19" t="s">
        <v>71</v>
      </c>
      <c r="P19" s="14" t="s">
        <v>86</v>
      </c>
      <c r="Q19" t="b">
        <f>IF(AND(AA5&lt;0,(AA5+AA6)&gt;175),TRUE,FALSE)</f>
        <v>0</v>
      </c>
      <c r="Z19" t="s">
        <v>139</v>
      </c>
      <c r="AA19" t="str">
        <f>IF(AA9&lt;=60,Liste!H7,IF(AA9&lt;=120,Liste!H8,Liste!H9))</f>
        <v>t &lt;= 1 h</v>
      </c>
      <c r="AG19" t="s">
        <v>174</v>
      </c>
      <c r="AH19">
        <f>$AH$14*300</f>
        <v>4800</v>
      </c>
      <c r="AI19" s="29">
        <v>5600</v>
      </c>
      <c r="AJ19" s="32">
        <f t="shared" si="3"/>
        <v>5600</v>
      </c>
      <c r="AK19">
        <v>1.7</v>
      </c>
      <c r="AL19" s="27">
        <v>0.91900000000000015</v>
      </c>
      <c r="AM19" s="27">
        <v>0.91900000000000015</v>
      </c>
      <c r="AN19" s="27">
        <v>0.85199999999999998</v>
      </c>
      <c r="AO19" s="27">
        <v>0.85199999999999998</v>
      </c>
      <c r="AP19" s="27">
        <v>0.68</v>
      </c>
      <c r="AQ19" s="27">
        <v>0.68</v>
      </c>
      <c r="AT19" s="27">
        <v>1.8</v>
      </c>
      <c r="AU19" s="27">
        <v>0.90999999999999992</v>
      </c>
      <c r="AV19" s="27">
        <v>0.83400000000000007</v>
      </c>
      <c r="AW19" s="27">
        <v>0.66999999999999993</v>
      </c>
    </row>
    <row r="20" spans="2:49" ht="23.25" x14ac:dyDescent="0.55000000000000004">
      <c r="C20" s="13" t="s">
        <v>82</v>
      </c>
      <c r="D20" s="13" t="s">
        <v>83</v>
      </c>
      <c r="E20" s="2" t="str">
        <f>IF(Q14&lt;Q13,Liste!D5,Liste!D6)</f>
        <v>VERIFICATA</v>
      </c>
      <c r="P20" s="14" t="s">
        <v>87</v>
      </c>
      <c r="Q20" t="b">
        <f>IF(AA6&gt;175,TRUE,FALSE)</f>
        <v>0</v>
      </c>
      <c r="AG20" t="s">
        <v>175</v>
      </c>
      <c r="AH20">
        <f>$AH$14*480</f>
        <v>7680</v>
      </c>
      <c r="AI20" s="30">
        <v>6000</v>
      </c>
      <c r="AJ20" s="32">
        <f t="shared" si="3"/>
        <v>6000</v>
      </c>
      <c r="AK20">
        <v>1.8</v>
      </c>
      <c r="AL20" s="27">
        <v>0.91600000000000015</v>
      </c>
      <c r="AM20" s="27">
        <v>0.91600000000000015</v>
      </c>
      <c r="AN20" s="27">
        <v>0.84799999999999998</v>
      </c>
      <c r="AO20" s="27">
        <v>0.84799999999999998</v>
      </c>
      <c r="AP20" s="27">
        <v>0.67</v>
      </c>
      <c r="AQ20" s="27">
        <v>0.67</v>
      </c>
      <c r="AT20" s="27">
        <v>1.9</v>
      </c>
      <c r="AU20" s="27">
        <v>0.90666666666666662</v>
      </c>
      <c r="AV20" s="27">
        <v>0.82866666666666666</v>
      </c>
      <c r="AW20" s="27">
        <v>0.66</v>
      </c>
    </row>
    <row r="21" spans="2:49" x14ac:dyDescent="0.45">
      <c r="P21" s="14" t="s">
        <v>88</v>
      </c>
      <c r="Q21" t="b">
        <f>IF(AA7&gt;63,TRUE,FALSE)</f>
        <v>0</v>
      </c>
      <c r="AK21">
        <v>1.9</v>
      </c>
      <c r="AL21" s="27">
        <v>0.91300000000000014</v>
      </c>
      <c r="AM21" s="27">
        <v>0.91300000000000014</v>
      </c>
      <c r="AN21" s="27">
        <v>0.84399999999999997</v>
      </c>
      <c r="AO21" s="27">
        <v>0.84399999999999997</v>
      </c>
      <c r="AP21" s="27">
        <v>0.66</v>
      </c>
      <c r="AQ21" s="27">
        <v>0.66</v>
      </c>
      <c r="AT21" s="27">
        <v>2</v>
      </c>
      <c r="AU21" s="27">
        <v>0.90333333333333332</v>
      </c>
      <c r="AV21" s="27">
        <v>0.82333333333333336</v>
      </c>
      <c r="AW21" s="27">
        <v>0.65</v>
      </c>
    </row>
    <row r="22" spans="2:49" x14ac:dyDescent="0.45">
      <c r="B22" t="s">
        <v>84</v>
      </c>
      <c r="P22" s="14" t="s">
        <v>89</v>
      </c>
      <c r="Q22" t="b">
        <f>IF(AA10&gt;45,TRUE,FALSE)</f>
        <v>0</v>
      </c>
      <c r="AH22" s="180" t="s">
        <v>178</v>
      </c>
      <c r="AI22" s="180"/>
      <c r="AJ22" s="32">
        <f>IF(AA16&lt;=2,AI23,IF(AA16&lt;=5,AI24,IF(AA16&lt;=10,AI25,IF(AA16&lt;=20,AI26,0))))</f>
        <v>1</v>
      </c>
      <c r="AK22">
        <v>2</v>
      </c>
      <c r="AL22" s="27">
        <v>0.91000000000000014</v>
      </c>
      <c r="AM22" s="27">
        <v>0.91000000000000014</v>
      </c>
      <c r="AN22" s="27">
        <v>0.84000000000000008</v>
      </c>
      <c r="AO22" s="27">
        <v>0.84000000000000008</v>
      </c>
      <c r="AP22" s="27">
        <v>0.65</v>
      </c>
      <c r="AQ22" s="27">
        <v>0.65</v>
      </c>
      <c r="AT22" s="27">
        <v>2.1</v>
      </c>
      <c r="AU22" s="27">
        <v>0.89999999999999991</v>
      </c>
      <c r="AV22" s="27">
        <v>0.81800000000000006</v>
      </c>
      <c r="AW22" s="27">
        <v>0.64</v>
      </c>
    </row>
    <row r="23" spans="2:49" x14ac:dyDescent="0.45">
      <c r="C23" s="179" t="str">
        <f>IF(AND(E14=Liste!B4,E15=Liste!B4,E16=Liste!B4,E17=Liste!B4,E20=Liste!D5),Liste!D8,Liste!D13)</f>
        <v>Continuare la valutazione con il prospetto 3.</v>
      </c>
      <c r="D23" s="179"/>
      <c r="E23" s="179"/>
      <c r="P23" s="14" t="s">
        <v>90</v>
      </c>
      <c r="Q23" t="b">
        <f>IF(NOT(OR(V25:X25)),FALSE,TRUE)</f>
        <v>0</v>
      </c>
      <c r="S23" s="15" t="b">
        <f>AA9&lt;=60</f>
        <v>1</v>
      </c>
      <c r="T23" s="16" t="b">
        <f>AA9&lt;=120</f>
        <v>1</v>
      </c>
      <c r="U23" s="17" t="b">
        <f>AA9&gt;120</f>
        <v>0</v>
      </c>
      <c r="V23" s="15" t="b">
        <f>AND(S23:S24)</f>
        <v>1</v>
      </c>
      <c r="W23" s="16" t="b">
        <f>AND(T23:T24)</f>
        <v>1</v>
      </c>
      <c r="X23" s="17" t="b">
        <f>U23</f>
        <v>0</v>
      </c>
      <c r="AH23" s="32" t="s">
        <v>179</v>
      </c>
      <c r="AI23" s="32">
        <v>1</v>
      </c>
      <c r="AK23">
        <v>2.1</v>
      </c>
      <c r="AL23" s="27">
        <v>0.90700000000000014</v>
      </c>
      <c r="AM23" s="27">
        <v>0.90700000000000014</v>
      </c>
      <c r="AN23" s="27">
        <v>0.83500000000000008</v>
      </c>
      <c r="AO23" s="27">
        <v>0.83500000000000008</v>
      </c>
      <c r="AP23" s="27">
        <v>0.64</v>
      </c>
      <c r="AQ23" s="27">
        <v>0.64</v>
      </c>
      <c r="AT23" s="27">
        <v>2.2000000000000002</v>
      </c>
      <c r="AU23" s="27">
        <v>0.89666666666666661</v>
      </c>
      <c r="AV23" s="27">
        <v>0.81266666666666665</v>
      </c>
      <c r="AW23" s="27">
        <v>0.63</v>
      </c>
    </row>
    <row r="24" spans="2:49" x14ac:dyDescent="0.45">
      <c r="P24" s="14" t="s">
        <v>93</v>
      </c>
      <c r="Q24" t="b">
        <f>IF($AA$15&lt;=AA1,FALSE,TRUE)</f>
        <v>0</v>
      </c>
      <c r="S24" s="18" t="b">
        <f>(AA9+AA17)&gt;=120</f>
        <v>1</v>
      </c>
      <c r="T24" s="19" t="b">
        <f>(AA9+AA17)&gt;=150</f>
        <v>1</v>
      </c>
      <c r="U24" s="20"/>
      <c r="V24" s="18" t="b">
        <f>AA8&gt;15</f>
        <v>0</v>
      </c>
      <c r="W24" s="19" t="b">
        <f>AA8&gt;12</f>
        <v>0</v>
      </c>
      <c r="X24" s="20" t="b">
        <f>AA8&gt;10</f>
        <v>0</v>
      </c>
      <c r="AH24" s="33" t="s">
        <v>180</v>
      </c>
      <c r="AI24" s="32">
        <v>0.8</v>
      </c>
      <c r="AK24">
        <v>2.2000000000000002</v>
      </c>
      <c r="AL24" s="27">
        <v>0.90400000000000014</v>
      </c>
      <c r="AM24" s="27">
        <v>0.90400000000000014</v>
      </c>
      <c r="AN24" s="27">
        <v>0.83000000000000007</v>
      </c>
      <c r="AO24" s="27">
        <v>0.83000000000000007</v>
      </c>
      <c r="AP24" s="27">
        <v>0.63</v>
      </c>
      <c r="AQ24" s="27">
        <v>0.63</v>
      </c>
      <c r="AT24" s="27">
        <v>2.2999999999999998</v>
      </c>
      <c r="AU24" s="27">
        <v>0.89333333333333331</v>
      </c>
      <c r="AV24" s="27">
        <v>0.80733333333333335</v>
      </c>
      <c r="AW24" s="27">
        <v>0.62</v>
      </c>
    </row>
    <row r="25" spans="2:49" x14ac:dyDescent="0.45">
      <c r="B25" t="s">
        <v>85</v>
      </c>
      <c r="P25" s="14" t="s">
        <v>94</v>
      </c>
      <c r="Q25" t="b">
        <f>IF($AA$15&lt;=AA2,FALSE,TRUE)</f>
        <v>0</v>
      </c>
      <c r="V25" s="21" t="b">
        <f>AND(V23:V24)</f>
        <v>0</v>
      </c>
      <c r="W25" s="22" t="b">
        <f>AND(W23:W24)</f>
        <v>0</v>
      </c>
      <c r="X25" s="23" t="b">
        <f>AND(X23:X24)</f>
        <v>0</v>
      </c>
      <c r="AH25" s="32" t="s">
        <v>181</v>
      </c>
      <c r="AI25" s="32">
        <v>0.6</v>
      </c>
      <c r="AK25">
        <v>2.2999999999999998</v>
      </c>
      <c r="AL25" s="27">
        <v>0.90100000000000013</v>
      </c>
      <c r="AM25" s="27">
        <v>0.90100000000000013</v>
      </c>
      <c r="AN25" s="27">
        <v>0.82500000000000007</v>
      </c>
      <c r="AO25" s="27">
        <v>0.82500000000000007</v>
      </c>
      <c r="AP25" s="27">
        <v>0.62000000000000011</v>
      </c>
      <c r="AQ25" s="27">
        <v>0.62000000000000011</v>
      </c>
      <c r="AT25" s="27">
        <v>2.4</v>
      </c>
      <c r="AU25" s="27">
        <v>0.89</v>
      </c>
      <c r="AV25" s="27">
        <v>0.80200000000000005</v>
      </c>
      <c r="AW25" s="27">
        <v>0.61</v>
      </c>
    </row>
    <row r="26" spans="2:49" ht="28.25" customHeight="1" x14ac:dyDescent="0.45">
      <c r="C26" s="12" t="s">
        <v>44</v>
      </c>
      <c r="D26" s="35" t="str">
        <f>IF(C23=Liste!D8,Liste!D8,IF(NOT(OR(Q18:Q24)),Liste!D9,Liste!D10))</f>
        <v>RISCHIO ACCETTABILE NON CRITICO</v>
      </c>
      <c r="E26" s="178" t="str">
        <f>IF(D26=Liste!$D$9,"Procedere con la Fase 3",IF(D26=Liste!$D$8,Liste!$E$6,Liste!$E$5))</f>
        <v>Procedere con la Fase 3</v>
      </c>
      <c r="F26" s="178"/>
      <c r="P26" s="14" t="s">
        <v>95</v>
      </c>
      <c r="Q26" t="b">
        <f>IF($AA$15&lt;=AA3,FALSE,TRUE)</f>
        <v>0</v>
      </c>
      <c r="AH26" s="32" t="s">
        <v>182</v>
      </c>
      <c r="AI26" s="32">
        <v>0.2</v>
      </c>
      <c r="AK26">
        <v>2.4</v>
      </c>
      <c r="AL26" s="27">
        <v>0.89800000000000013</v>
      </c>
      <c r="AM26" s="27">
        <v>0.89800000000000013</v>
      </c>
      <c r="AN26" s="27">
        <v>0.82000000000000006</v>
      </c>
      <c r="AO26" s="27">
        <v>0.82000000000000006</v>
      </c>
      <c r="AP26" s="27">
        <v>0.6100000000000001</v>
      </c>
      <c r="AQ26" s="27">
        <v>0.6100000000000001</v>
      </c>
      <c r="AT26" s="27">
        <v>2.5</v>
      </c>
      <c r="AU26" s="27">
        <v>0.8866666666666666</v>
      </c>
      <c r="AV26" s="27">
        <v>0.79666666666666663</v>
      </c>
      <c r="AW26" s="27">
        <v>0.6</v>
      </c>
    </row>
    <row r="27" spans="2:49" ht="28.25" customHeight="1" x14ac:dyDescent="0.45">
      <c r="C27" s="12" t="s">
        <v>45</v>
      </c>
      <c r="D27" s="35" t="str">
        <f>IF(C23=Liste!D8,Liste!D8,IF(NOT(OR(Q19:Q23,Q25)),Liste!D9,Liste!D10))</f>
        <v>RISCHIO ACCETTABILE NON CRITICO</v>
      </c>
      <c r="E27" s="178" t="str">
        <f>IF(D27=Liste!$D$9,"Procedere con la Fase 3",IF(D27=Liste!$D$8,Liste!$E$6,Liste!$E$5))</f>
        <v>Procedere con la Fase 3</v>
      </c>
      <c r="F27" s="178"/>
      <c r="P27" s="14" t="s">
        <v>96</v>
      </c>
      <c r="Q27" t="b">
        <f>IF($AA$15&lt;=AA4,FALSE,TRUE)</f>
        <v>1</v>
      </c>
      <c r="AK27">
        <v>2.5</v>
      </c>
      <c r="AL27" s="27">
        <v>0.89500000000000024</v>
      </c>
      <c r="AM27" s="27">
        <v>0.89500000000000024</v>
      </c>
      <c r="AN27" s="27">
        <v>0.81500000000000017</v>
      </c>
      <c r="AO27" s="27">
        <v>0.81500000000000017</v>
      </c>
      <c r="AP27" s="27">
        <v>0.60000000000000009</v>
      </c>
      <c r="AQ27" s="27">
        <v>0.60000000000000009</v>
      </c>
      <c r="AT27" s="27">
        <v>2.6</v>
      </c>
      <c r="AU27" s="27">
        <v>0.8833333333333333</v>
      </c>
      <c r="AV27" s="27">
        <v>0.79133333333333333</v>
      </c>
      <c r="AW27" s="27">
        <v>0.59</v>
      </c>
    </row>
    <row r="28" spans="2:49" ht="28.25" customHeight="1" x14ac:dyDescent="0.45">
      <c r="C28" s="12" t="s">
        <v>46</v>
      </c>
      <c r="D28" s="35" t="str">
        <f>IF(C23=Liste!D8,Liste!D8,IF(NOT(OR(Q19:Q23,Q26)),Liste!D9,Liste!D10))</f>
        <v>RISCHIO ACCETTABILE NON CRITICO</v>
      </c>
      <c r="E28" s="178" t="str">
        <f>IF(D28=Liste!$D$9,"Procedere con la Fase 3",IF(D28=Liste!$D$8,Liste!$E$6,Liste!$E$5))</f>
        <v>Procedere con la Fase 3</v>
      </c>
      <c r="F28" s="178"/>
      <c r="AK28">
        <v>2.6</v>
      </c>
      <c r="AL28" s="27">
        <v>0.89200000000000024</v>
      </c>
      <c r="AM28" s="27">
        <v>0.89200000000000024</v>
      </c>
      <c r="AN28" s="27">
        <v>0.81</v>
      </c>
      <c r="AO28" s="27">
        <v>0.81</v>
      </c>
      <c r="AP28" s="27">
        <v>0.59000000000000008</v>
      </c>
      <c r="AQ28" s="27">
        <v>0.59000000000000008</v>
      </c>
      <c r="AT28" s="27">
        <v>2.7</v>
      </c>
      <c r="AU28" s="27">
        <v>0.88</v>
      </c>
      <c r="AV28" s="27">
        <v>0.78600000000000003</v>
      </c>
      <c r="AW28" s="27">
        <v>0.57999999999999996</v>
      </c>
    </row>
    <row r="29" spans="2:49" ht="28.25" customHeight="1" x14ac:dyDescent="0.45">
      <c r="C29" s="12" t="s">
        <v>47</v>
      </c>
      <c r="D29" s="35" t="str">
        <f>IF(C23=Liste!D8,Liste!D8,IF(NOT(OR(Q19:Q23,Q27)),Liste!D9,Liste!D10))</f>
        <v>EFFETTUARE MODIFICHE IMMEDIATE. PRESENZA DI CONDIZIONE CRITICA</v>
      </c>
      <c r="E29" s="178" t="str">
        <f>IF(D29=Liste!$D$9,"Procedere con la Fase 3",IF(D29=Liste!$D$8,Liste!$E$6,Liste!$E$5))</f>
        <v>La MMC deve essere modificata adeguando la Progettazione del Lavoro in termini di Compito, Posto di Lavoro e Organizzazione del Lavoro; Progettazione dell'oggetto; Progettazione dell'ambiente lavorativo; Considerazioni sull'individuo; Informazione e Formazione.</v>
      </c>
      <c r="F29" s="178"/>
      <c r="AK29">
        <v>2.7</v>
      </c>
      <c r="AL29" s="27">
        <v>0.88900000000000023</v>
      </c>
      <c r="AM29" s="27">
        <v>0.88900000000000023</v>
      </c>
      <c r="AN29" s="27">
        <v>0.80500000000000016</v>
      </c>
      <c r="AO29" s="27">
        <v>0.80500000000000016</v>
      </c>
      <c r="AP29" s="27">
        <v>0.58000000000000007</v>
      </c>
      <c r="AQ29" s="27">
        <v>0.58000000000000007</v>
      </c>
      <c r="AT29" s="27">
        <v>2.8</v>
      </c>
      <c r="AU29" s="27">
        <v>0.87666666666666671</v>
      </c>
      <c r="AV29" s="27">
        <v>0.78066666666666673</v>
      </c>
      <c r="AW29" s="27">
        <v>0.57000000000000006</v>
      </c>
    </row>
    <row r="30" spans="2:49" x14ac:dyDescent="0.45">
      <c r="P30" s="26" t="s">
        <v>97</v>
      </c>
      <c r="AK30">
        <v>2.8</v>
      </c>
      <c r="AL30" s="27">
        <v>0.88600000000000023</v>
      </c>
      <c r="AM30" s="27">
        <v>0.88600000000000023</v>
      </c>
      <c r="AN30" s="27">
        <v>0.80000000000000016</v>
      </c>
      <c r="AO30" s="27">
        <v>0.80000000000000016</v>
      </c>
      <c r="AP30" s="27">
        <v>0.57000000000000006</v>
      </c>
      <c r="AQ30" s="27">
        <v>0.57000000000000006</v>
      </c>
      <c r="AT30" s="27">
        <v>2.9</v>
      </c>
      <c r="AU30" s="27">
        <v>0.87333333333333329</v>
      </c>
      <c r="AV30" s="27">
        <v>0.77533333333333332</v>
      </c>
      <c r="AW30" s="27">
        <v>0.56000000000000005</v>
      </c>
    </row>
    <row r="31" spans="2:49" x14ac:dyDescent="0.45">
      <c r="B31" t="s">
        <v>97</v>
      </c>
      <c r="P31" s="14" t="str">
        <f>Dati!B21</f>
        <v>Presenza di stress termico estremo (basso o alto) (per esempio, temperatura, umidità, movimento dell'aria)</v>
      </c>
      <c r="Q31" t="str">
        <f>IF(Dati!E21="SI",Liste!G4,"")</f>
        <v/>
      </c>
      <c r="AK31">
        <v>2.9</v>
      </c>
      <c r="AL31" s="27">
        <v>0.88300000000000023</v>
      </c>
      <c r="AM31" s="27">
        <v>0.88300000000000023</v>
      </c>
      <c r="AN31" s="27">
        <v>0.79500000000000015</v>
      </c>
      <c r="AO31" s="27">
        <v>0.79500000000000015</v>
      </c>
      <c r="AP31" s="27">
        <v>0.56000000000000005</v>
      </c>
      <c r="AQ31" s="27">
        <v>0.56000000000000005</v>
      </c>
      <c r="AT31" s="27">
        <v>3</v>
      </c>
      <c r="AU31" s="27">
        <v>0.87</v>
      </c>
      <c r="AV31" s="27">
        <v>0.77</v>
      </c>
      <c r="AW31" s="27">
        <v>0.55000000000000004</v>
      </c>
    </row>
    <row r="32" spans="2:49" ht="35.65" x14ac:dyDescent="0.45">
      <c r="C32" s="24" t="s">
        <v>109</v>
      </c>
      <c r="D32" s="11" t="str">
        <f>IF(AND(Dati!E21="NO",Dati!E22="NO",Dati!E23="NO",Dati!E25="NO",Dati!E26="NO",Dati!E27="NO",Dati!E28="NO",Dati!E29="NO",Dati!E30="NO"),Liste!G13,_xlfn.TEXTJOIN("; ",TRUE,Q31:Q39))</f>
        <v>Baricentro del carico; Forma dell'oggetto; Superfici fredde o calde; Impugnatura impropria</v>
      </c>
      <c r="P32" s="14" t="str">
        <f>Dati!B22</f>
        <v>Presenza di pavimento scivoloso, irregolare, instabile</v>
      </c>
      <c r="Q32" t="str">
        <f>IF(Dati!E22="SI",Liste!G5,"")</f>
        <v/>
      </c>
      <c r="AK32">
        <v>3</v>
      </c>
      <c r="AL32" s="27">
        <v>0.87999999999999989</v>
      </c>
      <c r="AM32" s="27">
        <v>0.87999999999999989</v>
      </c>
      <c r="AN32" s="27">
        <v>0.78999999999999981</v>
      </c>
      <c r="AO32" s="27">
        <v>0.78999999999999981</v>
      </c>
      <c r="AP32" s="27">
        <v>0.55000000000000004</v>
      </c>
      <c r="AQ32" s="27">
        <v>0.55000000000000004</v>
      </c>
      <c r="AT32" s="27">
        <v>3.1</v>
      </c>
      <c r="AU32" s="27">
        <v>0.8666666666666667</v>
      </c>
      <c r="AV32" s="27">
        <v>0.76466666666666672</v>
      </c>
      <c r="AW32" s="27">
        <v>0.54</v>
      </c>
    </row>
    <row r="33" spans="2:49" x14ac:dyDescent="0.45">
      <c r="P33" s="14" t="str">
        <f>Dati!B23</f>
        <v>Presenza di spazio insufficiente per il sollevamento e il trasporto</v>
      </c>
      <c r="Q33" t="str">
        <f>IF(Dati!E23="SI",Liste!G6,"")</f>
        <v/>
      </c>
      <c r="AK33">
        <v>3.1</v>
      </c>
      <c r="AL33" s="27">
        <v>0.87599999999999989</v>
      </c>
      <c r="AM33" s="27">
        <v>0.87599999999999989</v>
      </c>
      <c r="AN33" s="27">
        <v>0.78299999999999981</v>
      </c>
      <c r="AO33" s="27">
        <v>0.78299999999999981</v>
      </c>
      <c r="AP33" s="27">
        <v>0.54</v>
      </c>
      <c r="AQ33" s="27">
        <v>0.54</v>
      </c>
      <c r="AT33" s="27">
        <v>3.2</v>
      </c>
      <c r="AU33" s="27">
        <v>0.86333333333333329</v>
      </c>
      <c r="AV33" s="27">
        <v>0.7593333333333333</v>
      </c>
      <c r="AW33" s="27">
        <v>0.53</v>
      </c>
    </row>
    <row r="34" spans="2:49" x14ac:dyDescent="0.45">
      <c r="B34" s="7" t="s">
        <v>120</v>
      </c>
      <c r="C34" t="s">
        <v>121</v>
      </c>
      <c r="P34" s="14" t="str">
        <f>Dati!B25</f>
        <v>La dimensione dell'oggetto riduce la visuale del lavoratore e ostacola il movimento</v>
      </c>
      <c r="Q34" t="str">
        <f>IF(Dati!E25="SI",Liste!G7,"")</f>
        <v/>
      </c>
      <c r="AK34">
        <v>3.2</v>
      </c>
      <c r="AL34" s="27">
        <v>0.87199999999999989</v>
      </c>
      <c r="AM34" s="27">
        <v>0.87199999999999989</v>
      </c>
      <c r="AN34" s="27">
        <v>0.7759999999999998</v>
      </c>
      <c r="AO34" s="27">
        <v>0.7759999999999998</v>
      </c>
      <c r="AP34" s="27">
        <v>0.53</v>
      </c>
      <c r="AQ34" s="27">
        <v>0.53</v>
      </c>
      <c r="AT34" s="27">
        <v>3.3</v>
      </c>
      <c r="AU34" s="27">
        <v>0.86</v>
      </c>
      <c r="AV34" s="27">
        <v>0.754</v>
      </c>
      <c r="AW34" s="27">
        <v>0.52</v>
      </c>
    </row>
    <row r="35" spans="2:49" x14ac:dyDescent="0.45">
      <c r="C35" s="177" t="s">
        <v>149</v>
      </c>
      <c r="D35" s="12" t="s">
        <v>44</v>
      </c>
      <c r="E35" s="28">
        <f>AA1*$AH$2*$AH$3*$AH$4*$AH$5*$AH$6*$AH$7*$AH$8*$AH$9*$AH$10</f>
        <v>21.860597499999997</v>
      </c>
      <c r="P35" s="14" t="str">
        <f>Dati!B26</f>
        <v>Il baricentro del carico non è stabile (per esempio, liquidi, oggetti che si muovono all'interno dell'oggetto)</v>
      </c>
      <c r="Q35" t="str">
        <f>IF(Dati!E26="SI",Liste!G8,"")</f>
        <v>Baricentro del carico</v>
      </c>
      <c r="AK35">
        <v>3.3</v>
      </c>
      <c r="AL35" s="27">
        <v>0.86799999999999988</v>
      </c>
      <c r="AM35" s="27">
        <v>0.86799999999999988</v>
      </c>
      <c r="AN35" s="27">
        <v>0.76899999999999979</v>
      </c>
      <c r="AO35" s="27">
        <v>0.76899999999999979</v>
      </c>
      <c r="AP35" s="27">
        <v>0.52</v>
      </c>
      <c r="AQ35" s="27">
        <v>0.52</v>
      </c>
      <c r="AT35" s="27">
        <v>3.4</v>
      </c>
      <c r="AU35" s="27">
        <v>0.85666666666666669</v>
      </c>
      <c r="AV35" s="27">
        <v>0.7486666666666667</v>
      </c>
      <c r="AW35" s="27">
        <v>0.51</v>
      </c>
    </row>
    <row r="36" spans="2:49" x14ac:dyDescent="0.45">
      <c r="C36" s="177"/>
      <c r="D36" s="12" t="s">
        <v>45</v>
      </c>
      <c r="E36" s="28">
        <f>AA2*$AH$2*$AH$3*$AH$4*$AH$5*$AH$6*$AH$7*$AH$8*$AH$9*$AH$10</f>
        <v>17.488477999999997</v>
      </c>
      <c r="P36" s="14" t="str">
        <f>Dati!B27</f>
        <v>La forma o la configurazione dell'oggetto presenta bordi, superfici o sporgenze taglienti</v>
      </c>
      <c r="Q36" t="str">
        <f>IF(Dati!E27="SI",Liste!G9,"")</f>
        <v>Forma dell'oggetto</v>
      </c>
      <c r="AK36">
        <v>3.4</v>
      </c>
      <c r="AL36" s="27">
        <v>0.86399999999999988</v>
      </c>
      <c r="AM36" s="27">
        <v>0.86399999999999988</v>
      </c>
      <c r="AN36" s="27">
        <v>0.76199999999999979</v>
      </c>
      <c r="AO36" s="27">
        <v>0.76199999999999979</v>
      </c>
      <c r="AP36" s="27">
        <v>0.51</v>
      </c>
      <c r="AQ36" s="27">
        <v>0.51</v>
      </c>
      <c r="AT36" s="27">
        <v>3.5</v>
      </c>
      <c r="AU36" s="27">
        <v>0.85333333333333328</v>
      </c>
      <c r="AV36" s="27">
        <v>0.7433333333333334</v>
      </c>
      <c r="AW36" s="27">
        <v>0.5</v>
      </c>
    </row>
    <row r="37" spans="2:49" x14ac:dyDescent="0.45">
      <c r="C37" s="177"/>
      <c r="D37" s="12" t="s">
        <v>46</v>
      </c>
      <c r="E37" s="28">
        <f>AA3*$AH$2*$AH$3*$AH$4*$AH$5*$AH$6*$AH$7*$AH$8*$AH$9*$AH$10</f>
        <v>17.488477999999997</v>
      </c>
      <c r="P37" s="14" t="str">
        <f>Dati!B28</f>
        <v>Le superfici di contatto sono troppo fredde o troppo calde</v>
      </c>
      <c r="Q37" t="str">
        <f>IF(Dati!E28="SI",Liste!G10,"")</f>
        <v>Superfici fredde o calde</v>
      </c>
      <c r="AK37">
        <v>3.5</v>
      </c>
      <c r="AL37" s="27">
        <v>0.85999999999999988</v>
      </c>
      <c r="AM37" s="27">
        <v>0.85999999999999988</v>
      </c>
      <c r="AN37" s="27">
        <v>0.75499999999999978</v>
      </c>
      <c r="AO37" s="27">
        <v>0.75499999999999978</v>
      </c>
      <c r="AP37" s="27">
        <v>0.5</v>
      </c>
      <c r="AQ37" s="27">
        <v>0.5</v>
      </c>
      <c r="AT37" s="27">
        <v>3.6</v>
      </c>
      <c r="AU37" s="27">
        <v>0.85</v>
      </c>
      <c r="AV37" s="27">
        <v>0.73799999999999999</v>
      </c>
      <c r="AW37" s="27">
        <v>0.49</v>
      </c>
    </row>
    <row r="38" spans="2:49" x14ac:dyDescent="0.45">
      <c r="C38" s="177"/>
      <c r="D38" s="12" t="s">
        <v>47</v>
      </c>
      <c r="E38" s="28">
        <f>AA4*$AH$2*$AH$3*$AH$4*$AH$5*$AH$6*$AH$7*$AH$8*$AH$9*$AH$10</f>
        <v>13.116358499999999</v>
      </c>
      <c r="P38" s="14" t="str">
        <f>Dati!B29</f>
        <v>Impugnature o accoppiamenti impropri</v>
      </c>
      <c r="Q38" t="str">
        <f>IF(Dati!E29="SI",Liste!G11,"")</f>
        <v>Impugnatura impropria</v>
      </c>
      <c r="AK38">
        <v>3.6</v>
      </c>
      <c r="AL38" s="27">
        <v>0.85599999999999987</v>
      </c>
      <c r="AM38" s="27">
        <v>0.85599999999999987</v>
      </c>
      <c r="AN38" s="27">
        <v>0.74799999999999978</v>
      </c>
      <c r="AO38" s="27">
        <v>0.74799999999999978</v>
      </c>
      <c r="AP38" s="27">
        <v>0.49000000000000005</v>
      </c>
      <c r="AQ38" s="27">
        <v>0.49000000000000005</v>
      </c>
      <c r="AT38" s="27">
        <v>3.7</v>
      </c>
      <c r="AU38" s="27">
        <v>0.84666666666666668</v>
      </c>
      <c r="AV38" s="27">
        <v>0.73266666666666669</v>
      </c>
      <c r="AW38" s="27">
        <v>0.48</v>
      </c>
    </row>
    <row r="39" spans="2:49" x14ac:dyDescent="0.45">
      <c r="C39" s="177" t="s">
        <v>150</v>
      </c>
      <c r="D39" s="12" t="s">
        <v>44</v>
      </c>
      <c r="E39" s="28">
        <f>$AA$15/E35</f>
        <v>0.91488807659534477</v>
      </c>
      <c r="F39" t="str">
        <f>IF(E39&lt;=1,Liste!$I$4,IF(E39&lt;=1.5,Liste!$I$5,IF(E39&lt;=2,Liste!$I$6,IF(E39&lt;=3,Liste!$I$7,Liste!$I$8))))</f>
        <v>Molto Basso</v>
      </c>
      <c r="P39" s="14" t="str">
        <f>Dati!B30</f>
        <v>Il(I) compito(i) di sollevamento o trasporto dura(no) più di 8 h al giorno?</v>
      </c>
      <c r="Q39" t="str">
        <f>IF(Dati!E30="SI",Liste!G12,"")</f>
        <v/>
      </c>
      <c r="AK39">
        <v>3.7</v>
      </c>
      <c r="AL39" s="27">
        <v>0.85199999999999987</v>
      </c>
      <c r="AM39" s="27">
        <v>0.85199999999999987</v>
      </c>
      <c r="AN39" s="27">
        <v>0.74099999999999977</v>
      </c>
      <c r="AO39" s="27">
        <v>0.74099999999999977</v>
      </c>
      <c r="AP39" s="27">
        <v>0.48000000000000004</v>
      </c>
      <c r="AQ39" s="27">
        <v>0.48000000000000004</v>
      </c>
      <c r="AT39" s="27">
        <v>3.8</v>
      </c>
      <c r="AU39" s="27">
        <v>0.84333333333333327</v>
      </c>
      <c r="AV39" s="27">
        <v>0.72733333333333339</v>
      </c>
      <c r="AW39" s="27">
        <v>0.47000000000000003</v>
      </c>
    </row>
    <row r="40" spans="2:49" x14ac:dyDescent="0.45">
      <c r="C40" s="177"/>
      <c r="D40" s="12" t="s">
        <v>45</v>
      </c>
      <c r="E40" s="28">
        <f t="shared" ref="E40:E42" si="4">$AA$15/E36</f>
        <v>1.143610095744181</v>
      </c>
      <c r="F40" t="str">
        <f>IF(E40&lt;=1,Liste!$I$4,IF(E40&lt;=1.5,Liste!$I$5,IF(E40&lt;=2,Liste!$I$6,IF(E40&lt;=3,Liste!$I$7,Liste!$I$8))))</f>
        <v>Basso</v>
      </c>
      <c r="AK40">
        <v>3.8</v>
      </c>
      <c r="AL40" s="27">
        <v>0.84799999999999986</v>
      </c>
      <c r="AM40" s="27">
        <v>0.84799999999999986</v>
      </c>
      <c r="AN40" s="27">
        <v>0.73399999999999976</v>
      </c>
      <c r="AO40" s="27">
        <v>0.73399999999999976</v>
      </c>
      <c r="AP40" s="27">
        <v>0.47000000000000008</v>
      </c>
      <c r="AQ40" s="27">
        <v>0.47000000000000008</v>
      </c>
      <c r="AT40" s="27">
        <v>3.9</v>
      </c>
      <c r="AU40" s="27">
        <v>0.84</v>
      </c>
      <c r="AV40" s="27">
        <v>0.72199999999999998</v>
      </c>
      <c r="AW40" s="27">
        <v>0.46</v>
      </c>
    </row>
    <row r="41" spans="2:49" x14ac:dyDescent="0.45">
      <c r="C41" s="177"/>
      <c r="D41" s="12" t="s">
        <v>46</v>
      </c>
      <c r="E41" s="28">
        <f t="shared" si="4"/>
        <v>1.143610095744181</v>
      </c>
      <c r="F41" t="str">
        <f>IF(E41&lt;=1,Liste!$I$4,IF(E41&lt;=1.5,Liste!$I$5,IF(E41&lt;=2,Liste!$I$6,IF(E41&lt;=3,Liste!$I$7,Liste!$I$8))))</f>
        <v>Basso</v>
      </c>
      <c r="P41" s="14"/>
      <c r="AK41">
        <v>3.9</v>
      </c>
      <c r="AL41" s="27">
        <v>0.84399999999999986</v>
      </c>
      <c r="AM41" s="27">
        <v>0.84399999999999986</v>
      </c>
      <c r="AN41" s="27">
        <v>0.72699999999999976</v>
      </c>
      <c r="AO41" s="27">
        <v>0.72699999999999976</v>
      </c>
      <c r="AP41" s="27">
        <v>0.46000000000000008</v>
      </c>
      <c r="AQ41" s="27">
        <v>0.46000000000000008</v>
      </c>
      <c r="AT41" s="27">
        <v>4</v>
      </c>
      <c r="AU41" s="27">
        <v>0.84000000000000008</v>
      </c>
      <c r="AV41" s="27">
        <v>0.72</v>
      </c>
      <c r="AW41" s="27">
        <v>0.45000000000000007</v>
      </c>
    </row>
    <row r="42" spans="2:49" x14ac:dyDescent="0.45">
      <c r="C42" s="177"/>
      <c r="D42" s="12" t="s">
        <v>47</v>
      </c>
      <c r="E42" s="28">
        <f t="shared" si="4"/>
        <v>1.5248134609922412</v>
      </c>
      <c r="F42" t="str">
        <f>IF(E42&lt;=1,Liste!$I$4,IF(E42&lt;=1.5,Liste!$I$5,IF(E42&lt;=2,Liste!$I$6,IF(E42&lt;=3,Liste!$I$7,Liste!$I$8))))</f>
        <v>Moderato</v>
      </c>
      <c r="P42" s="14"/>
      <c r="AK42">
        <v>4</v>
      </c>
      <c r="AL42" s="27">
        <v>0.83999999999999986</v>
      </c>
      <c r="AM42" s="27">
        <v>0.83999999999999986</v>
      </c>
      <c r="AN42" s="27">
        <v>0.72</v>
      </c>
      <c r="AO42" s="27">
        <v>0.72</v>
      </c>
      <c r="AP42" s="27">
        <v>0.45000000000000007</v>
      </c>
      <c r="AQ42" s="27">
        <v>0.45000000000000007</v>
      </c>
      <c r="AT42" s="27">
        <v>4.0999999999999996</v>
      </c>
      <c r="AU42" s="27">
        <v>0.83550000000000002</v>
      </c>
      <c r="AV42" s="27">
        <v>0.70900000000000007</v>
      </c>
      <c r="AW42" s="27">
        <v>0.44100000000000011</v>
      </c>
    </row>
    <row r="43" spans="2:49" ht="21.75" x14ac:dyDescent="0.45">
      <c r="C43" s="143" t="s">
        <v>84</v>
      </c>
      <c r="D43" s="12" t="s">
        <v>44</v>
      </c>
      <c r="E43" s="37" t="str">
        <f>IF(AND(E39&lt;=1,$AA$9&lt;1),Liste!$D$7,Liste!$D$14)</f>
        <v>Continuare con la Fase 4</v>
      </c>
      <c r="F43" s="36" t="str">
        <f>IF(F39=Liste!$I$4,Liste!$J$4,IF(F39=Liste!$I$5,Liste!$J$5,IF(F39=Liste!$I$6,Liste!$J$6,IF(F39=Liste!$I$7,Liste!$J$7,Liste!$J$8))))</f>
        <v>Nessuna azione necessaria in generale per la popolazione lavorativa sana.</v>
      </c>
      <c r="AK43">
        <v>4.0999999999999996</v>
      </c>
      <c r="AL43" s="27">
        <v>0.83599999999999985</v>
      </c>
      <c r="AM43" s="27">
        <v>0.83599999999999985</v>
      </c>
      <c r="AN43" s="27">
        <v>0.70799999999999996</v>
      </c>
      <c r="AO43" s="27">
        <v>0.70799999999999996</v>
      </c>
      <c r="AP43" s="27">
        <v>0.44000000000000011</v>
      </c>
      <c r="AQ43" s="27">
        <v>0.44000000000000011</v>
      </c>
      <c r="AT43" s="27">
        <v>4.2</v>
      </c>
      <c r="AU43" s="27">
        <v>0.83099999999999996</v>
      </c>
      <c r="AV43" s="27">
        <v>0.69799999999999995</v>
      </c>
      <c r="AW43" s="27">
        <v>0.43200000000000005</v>
      </c>
    </row>
    <row r="44" spans="2:49" ht="42.75" x14ac:dyDescent="0.45">
      <c r="C44" s="143"/>
      <c r="D44" s="12" t="s">
        <v>45</v>
      </c>
      <c r="E44" s="37" t="str">
        <f>IF(AND(E40&lt;=1,$AA$9&lt;1),Liste!$D$7,Liste!$D$14)</f>
        <v>Continuare con la Fase 4</v>
      </c>
      <c r="F44" s="36" t="str">
        <f>IF(F40=Liste!$I$4,Liste!$J$4,IF(F40=Liste!$I$5,Liste!$J$5,IF(F40=Liste!$I$6,Liste!$J$6,IF(F40=Liste!$I$7,Liste!$J$7,Liste!$J$8))))</f>
        <v>Prestare attenzione alle condizioni di bassa frequenza/alto carico e alle posture estreme o statiche. Includere tutti i fattori nella riprogettazione dei compiti o delle postazioni di lavoro e considerare ogni sforzo per abbassare i valori di LI &lt; 1,0.</v>
      </c>
      <c r="AK44">
        <v>4.2</v>
      </c>
      <c r="AL44" s="27">
        <v>0.83199999999999985</v>
      </c>
      <c r="AM44" s="27">
        <v>0.83199999999999985</v>
      </c>
      <c r="AN44" s="27">
        <v>0.69599999999999995</v>
      </c>
      <c r="AO44" s="27">
        <v>0.69599999999999995</v>
      </c>
      <c r="AP44" s="27">
        <v>0.43000000000000005</v>
      </c>
      <c r="AQ44" s="27">
        <v>0.43000000000000005</v>
      </c>
      <c r="AT44" s="27">
        <v>4.3</v>
      </c>
      <c r="AU44" s="27">
        <v>0.82650000000000001</v>
      </c>
      <c r="AV44" s="27">
        <v>0.68700000000000006</v>
      </c>
      <c r="AW44" s="27">
        <v>0.4230000000000001</v>
      </c>
    </row>
    <row r="45" spans="2:49" ht="42.75" x14ac:dyDescent="0.45">
      <c r="C45" s="143"/>
      <c r="D45" s="12" t="s">
        <v>46</v>
      </c>
      <c r="E45" s="37" t="str">
        <f>IF(AND(E41&lt;=1,$AA$9&lt;1),Liste!$D$7,Liste!$D$14)</f>
        <v>Continuare con la Fase 4</v>
      </c>
      <c r="F45" s="36" t="str">
        <f>IF(F41=Liste!$I$4,Liste!$J$4,IF(F41=Liste!$I$5,Liste!$J$5,IF(F41=Liste!$I$6,Liste!$J$6,IF(F41=Liste!$I$7,Liste!$J$7,Liste!$J$8))))</f>
        <v>Prestare attenzione alle condizioni di bassa frequenza/alto carico e alle posture estreme o statiche. Includere tutti i fattori nella riprogettazione dei compiti o delle postazioni di lavoro e considerare ogni sforzo per abbassare i valori di LI &lt; 1,0.</v>
      </c>
      <c r="AK45">
        <v>4.3</v>
      </c>
      <c r="AL45" s="27">
        <v>0.82799999999999985</v>
      </c>
      <c r="AM45" s="27">
        <v>0.82799999999999985</v>
      </c>
      <c r="AN45" s="27">
        <v>0.68399999999999994</v>
      </c>
      <c r="AO45" s="27">
        <v>0.68399999999999994</v>
      </c>
      <c r="AP45" s="27">
        <v>0.4200000000000001</v>
      </c>
      <c r="AQ45" s="27">
        <v>0.4200000000000001</v>
      </c>
      <c r="AT45" s="27">
        <v>4.4000000000000004</v>
      </c>
      <c r="AU45" s="27">
        <v>0.82200000000000006</v>
      </c>
      <c r="AV45" s="27">
        <v>0.67599999999999993</v>
      </c>
      <c r="AW45" s="27">
        <v>0.41400000000000003</v>
      </c>
    </row>
    <row r="46" spans="2:49" ht="21.75" x14ac:dyDescent="0.45">
      <c r="C46" s="143"/>
      <c r="D46" s="12" t="s">
        <v>47</v>
      </c>
      <c r="E46" s="37" t="str">
        <f>IF(AND(E42&lt;=1,$AA$9&lt;1),Liste!$D$7,Liste!$D$14)</f>
        <v>Continuare con la Fase 4</v>
      </c>
      <c r="F46" s="36" t="str">
        <f>IF(F42=Liste!$I$4,Liste!$J$4,IF(F42=Liste!$I$5,Liste!$J$5,IF(F42=Liste!$I$6,Liste!$J$6,IF(F42=Liste!$I$7,Liste!$J$7,Liste!$J$8))))</f>
        <v>Riprogettare i compiti e i posti di lavoro secondo le priorità per ridurre l'LI, successivamente analizzare i risultati per confermare l'efficacia.</v>
      </c>
      <c r="AK46">
        <v>4.4000000000000004</v>
      </c>
      <c r="AL46" s="27">
        <v>0.82399999999999984</v>
      </c>
      <c r="AM46" s="27">
        <v>0.82399999999999984</v>
      </c>
      <c r="AN46" s="27">
        <v>0.67199999999999993</v>
      </c>
      <c r="AO46" s="27">
        <v>0.67199999999999993</v>
      </c>
      <c r="AP46" s="27">
        <v>0.41000000000000003</v>
      </c>
      <c r="AQ46" s="27">
        <v>0.41000000000000003</v>
      </c>
      <c r="AT46" s="27">
        <v>4.5</v>
      </c>
      <c r="AU46" s="27">
        <v>0.8175</v>
      </c>
      <c r="AV46" s="27">
        <v>0.66500000000000004</v>
      </c>
      <c r="AW46" s="27">
        <v>0.40500000000000008</v>
      </c>
    </row>
    <row r="47" spans="2:49" x14ac:dyDescent="0.45">
      <c r="AK47">
        <v>4.5</v>
      </c>
      <c r="AL47" s="27">
        <v>0.81999999999999984</v>
      </c>
      <c r="AM47" s="27">
        <v>0.81999999999999984</v>
      </c>
      <c r="AN47" s="27">
        <v>0.65999999999999992</v>
      </c>
      <c r="AO47" s="27">
        <v>0.65999999999999992</v>
      </c>
      <c r="AP47" s="27">
        <v>0.40000000000000008</v>
      </c>
      <c r="AQ47" s="27">
        <v>0.40000000000000008</v>
      </c>
      <c r="AT47" s="27">
        <v>4.5999999999999996</v>
      </c>
      <c r="AU47" s="27">
        <v>0.81300000000000006</v>
      </c>
      <c r="AV47" s="27">
        <v>0.65400000000000003</v>
      </c>
      <c r="AW47" s="27">
        <v>0.39600000000000007</v>
      </c>
    </row>
    <row r="48" spans="2:49" x14ac:dyDescent="0.45">
      <c r="B48" s="7" t="s">
        <v>163</v>
      </c>
      <c r="C48" t="s">
        <v>164</v>
      </c>
      <c r="AK48">
        <v>4.5999999999999996</v>
      </c>
      <c r="AL48" s="27">
        <v>0.81599999999999984</v>
      </c>
      <c r="AM48" s="27">
        <v>0.81599999999999984</v>
      </c>
      <c r="AN48" s="27">
        <v>0.64800000000000002</v>
      </c>
      <c r="AO48" s="27">
        <v>0.64800000000000002</v>
      </c>
      <c r="AP48" s="27">
        <v>0.39000000000000012</v>
      </c>
      <c r="AQ48" s="27">
        <v>0.39000000000000012</v>
      </c>
      <c r="AT48" s="27">
        <v>4.7</v>
      </c>
      <c r="AU48" s="27">
        <v>0.8085</v>
      </c>
      <c r="AV48" s="27">
        <v>0.64300000000000002</v>
      </c>
      <c r="AW48" s="27">
        <v>0.38700000000000007</v>
      </c>
    </row>
    <row r="49" spans="2:49" ht="15.75" x14ac:dyDescent="0.55000000000000004">
      <c r="C49" t="s">
        <v>165</v>
      </c>
      <c r="D49" t="str">
        <f>IF(E43=Liste!$D$7,"",IF($Q$15&lt;=6000,Liste!$D$15,Liste!$E$5))</f>
        <v>Continuare con la Fase 5</v>
      </c>
      <c r="AK49">
        <v>4.7</v>
      </c>
      <c r="AL49" s="27">
        <v>0.81199999999999983</v>
      </c>
      <c r="AM49" s="27">
        <v>0.81199999999999983</v>
      </c>
      <c r="AN49" s="27">
        <v>0.63600000000000001</v>
      </c>
      <c r="AO49" s="27">
        <v>0.63600000000000001</v>
      </c>
      <c r="AP49" s="27">
        <v>0.38000000000000006</v>
      </c>
      <c r="AQ49" s="27">
        <v>0.38000000000000006</v>
      </c>
      <c r="AT49" s="27">
        <v>4.8</v>
      </c>
      <c r="AU49" s="27">
        <v>0.80400000000000005</v>
      </c>
      <c r="AV49" s="27">
        <v>0.63200000000000001</v>
      </c>
      <c r="AW49" s="27">
        <v>0.37800000000000006</v>
      </c>
    </row>
    <row r="50" spans="2:49" x14ac:dyDescent="0.45">
      <c r="AK50">
        <v>4.8</v>
      </c>
      <c r="AL50" s="27">
        <v>0.80799999999999983</v>
      </c>
      <c r="AM50" s="27">
        <v>0.80799999999999983</v>
      </c>
      <c r="AN50" s="27">
        <v>0.624</v>
      </c>
      <c r="AO50" s="27">
        <v>0.624</v>
      </c>
      <c r="AP50" s="27">
        <v>0.37000000000000011</v>
      </c>
      <c r="AQ50" s="27">
        <v>0.37000000000000011</v>
      </c>
      <c r="AT50" s="27">
        <v>4.9000000000000004</v>
      </c>
      <c r="AU50" s="27">
        <v>0.79949999999999999</v>
      </c>
      <c r="AV50" s="27">
        <v>0.621</v>
      </c>
      <c r="AW50" s="27">
        <v>0.36900000000000005</v>
      </c>
    </row>
    <row r="51" spans="2:49" x14ac:dyDescent="0.45">
      <c r="B51" s="7" t="s">
        <v>167</v>
      </c>
      <c r="C51" t="s">
        <v>168</v>
      </c>
      <c r="AK51">
        <v>4.9000000000000004</v>
      </c>
      <c r="AL51" s="27">
        <v>0.80399999999999983</v>
      </c>
      <c r="AM51" s="27">
        <v>0.80399999999999983</v>
      </c>
      <c r="AN51" s="27">
        <v>0.61199999999999999</v>
      </c>
      <c r="AO51" s="27">
        <v>0.61199999999999999</v>
      </c>
      <c r="AP51" s="27">
        <v>0.36000000000000004</v>
      </c>
      <c r="AQ51" s="27">
        <v>0.36000000000000004</v>
      </c>
      <c r="AT51" s="27">
        <v>5</v>
      </c>
      <c r="AU51" s="27">
        <v>0.79500000000000004</v>
      </c>
      <c r="AV51" s="27">
        <v>0.61</v>
      </c>
      <c r="AW51" s="27">
        <v>0.3600000000000001</v>
      </c>
    </row>
    <row r="52" spans="2:49" ht="30" x14ac:dyDescent="0.45">
      <c r="C52" s="1" t="s">
        <v>169</v>
      </c>
      <c r="D52" t="str">
        <f>IF(AH14&lt;=AJ14,Liste!$D$7,Liste!$D$11)</f>
        <v>ACCETTABILE</v>
      </c>
      <c r="AK52">
        <v>5</v>
      </c>
      <c r="AL52" s="27">
        <v>0.79999999999999982</v>
      </c>
      <c r="AM52" s="27">
        <v>0.79999999999999982</v>
      </c>
      <c r="AN52" s="27">
        <v>0.6000000000000002</v>
      </c>
      <c r="AO52" s="27">
        <v>0.6000000000000002</v>
      </c>
      <c r="AP52" s="27">
        <v>0.3500000000000002</v>
      </c>
      <c r="AQ52" s="27">
        <v>0.3500000000000002</v>
      </c>
      <c r="AT52" s="27">
        <v>5.0999999999999996</v>
      </c>
      <c r="AU52" s="27">
        <v>0.79049999999999998</v>
      </c>
      <c r="AV52" s="27">
        <v>0.59899999999999998</v>
      </c>
      <c r="AW52" s="27">
        <v>0.35100000000000009</v>
      </c>
    </row>
    <row r="53" spans="2:49" ht="15.75" x14ac:dyDescent="0.55000000000000004">
      <c r="C53" s="1" t="s">
        <v>170</v>
      </c>
      <c r="D53" t="str">
        <f>IF(AH15&lt;=AJ15,Liste!$D$7,Liste!$D$11)</f>
        <v>ACCETTABILE</v>
      </c>
      <c r="AK53">
        <v>5.0999999999999996</v>
      </c>
      <c r="AL53" s="27">
        <v>0.79499999999999982</v>
      </c>
      <c r="AM53" s="27">
        <v>0.79499999999999982</v>
      </c>
      <c r="AN53" s="27">
        <v>0.59000000000000019</v>
      </c>
      <c r="AO53" s="27">
        <v>0.59000000000000019</v>
      </c>
      <c r="AP53" s="27">
        <v>0.34200000000000025</v>
      </c>
      <c r="AQ53" s="27">
        <v>0.34200000000000025</v>
      </c>
      <c r="AT53" s="27">
        <v>5.2</v>
      </c>
      <c r="AU53" s="27">
        <v>0.78600000000000003</v>
      </c>
      <c r="AV53" s="27">
        <v>0.58799999999999997</v>
      </c>
      <c r="AW53" s="27">
        <v>0.34200000000000008</v>
      </c>
    </row>
    <row r="54" spans="2:49" ht="15.75" x14ac:dyDescent="0.55000000000000004">
      <c r="C54" s="1" t="s">
        <v>171</v>
      </c>
      <c r="D54" t="str">
        <f>IF(AH16&lt;=AJ16,Liste!$D$7,Liste!$D$11)</f>
        <v>ACCETTABILE</v>
      </c>
      <c r="AK54">
        <v>5.2</v>
      </c>
      <c r="AL54" s="27">
        <v>0.78999999999999981</v>
      </c>
      <c r="AM54" s="27">
        <v>0.78999999999999981</v>
      </c>
      <c r="AN54" s="27">
        <v>0.58000000000000018</v>
      </c>
      <c r="AO54" s="27">
        <v>0.58000000000000018</v>
      </c>
      <c r="AP54" s="27">
        <v>0.33400000000000019</v>
      </c>
      <c r="AQ54" s="27">
        <v>0.33400000000000019</v>
      </c>
      <c r="AT54" s="27">
        <v>5.3</v>
      </c>
      <c r="AU54" s="27">
        <v>0.78150000000000008</v>
      </c>
      <c r="AV54" s="27">
        <v>0.57699999999999996</v>
      </c>
      <c r="AW54" s="27">
        <v>0.33300000000000007</v>
      </c>
    </row>
    <row r="55" spans="2:49" ht="15.75" x14ac:dyDescent="0.55000000000000004">
      <c r="C55" s="1" t="s">
        <v>172</v>
      </c>
      <c r="D55" t="str">
        <f>IF(AH17&lt;=AJ17,Liste!$D$7,Liste!$D$11)</f>
        <v>ACCETTABILE</v>
      </c>
      <c r="AK55">
        <v>5.3</v>
      </c>
      <c r="AL55" s="27">
        <v>0.78499999999999981</v>
      </c>
      <c r="AM55" s="27">
        <v>0.78499999999999981</v>
      </c>
      <c r="AN55" s="27">
        <v>0.57000000000000017</v>
      </c>
      <c r="AO55" s="27">
        <v>0.57000000000000017</v>
      </c>
      <c r="AP55" s="27">
        <v>0.32600000000000023</v>
      </c>
      <c r="AQ55" s="27">
        <v>0.32600000000000023</v>
      </c>
      <c r="AT55" s="27">
        <v>5.4</v>
      </c>
      <c r="AU55" s="27">
        <v>0.77700000000000002</v>
      </c>
      <c r="AV55" s="27">
        <v>0.56599999999999995</v>
      </c>
      <c r="AW55" s="27">
        <v>0.32400000000000007</v>
      </c>
    </row>
    <row r="56" spans="2:49" ht="15.75" x14ac:dyDescent="0.55000000000000004">
      <c r="C56" s="1" t="s">
        <v>173</v>
      </c>
      <c r="D56" t="str">
        <f>IF(AH18&lt;=AJ18,Liste!$D$7,Liste!$D$11)</f>
        <v>ACCETTABILE</v>
      </c>
      <c r="AK56">
        <v>5.4</v>
      </c>
      <c r="AL56" s="27">
        <v>0.7799999999999998</v>
      </c>
      <c r="AM56" s="27">
        <v>0.7799999999999998</v>
      </c>
      <c r="AN56" s="27">
        <v>0.56000000000000016</v>
      </c>
      <c r="AO56" s="27">
        <v>0.56000000000000016</v>
      </c>
      <c r="AP56" s="27">
        <v>0.31800000000000017</v>
      </c>
      <c r="AQ56" s="27">
        <v>0.31800000000000017</v>
      </c>
      <c r="AT56" s="27">
        <v>5.5</v>
      </c>
      <c r="AU56" s="27">
        <v>0.77249999999999996</v>
      </c>
      <c r="AV56" s="27">
        <v>0.55499999999999994</v>
      </c>
      <c r="AW56" s="27">
        <v>0.31500000000000006</v>
      </c>
    </row>
    <row r="57" spans="2:49" ht="15.75" x14ac:dyDescent="0.55000000000000004">
      <c r="C57" s="1" t="s">
        <v>174</v>
      </c>
      <c r="D57" t="str">
        <f>IF(AH19&lt;=AJ19,Liste!$D$7,Liste!$D$11)</f>
        <v>ACCETTABILE</v>
      </c>
      <c r="AK57">
        <v>5.5</v>
      </c>
      <c r="AL57" s="27">
        <v>0.7749999999999998</v>
      </c>
      <c r="AM57" s="27">
        <v>0.7749999999999998</v>
      </c>
      <c r="AN57" s="27">
        <v>0.55000000000000027</v>
      </c>
      <c r="AO57" s="27">
        <v>0.55000000000000027</v>
      </c>
      <c r="AP57" s="27">
        <v>0.31000000000000022</v>
      </c>
      <c r="AQ57" s="27">
        <v>0.31000000000000022</v>
      </c>
      <c r="AT57" s="27">
        <v>5.6</v>
      </c>
      <c r="AU57" s="27">
        <v>0.76800000000000002</v>
      </c>
      <c r="AV57" s="27">
        <v>0.54400000000000004</v>
      </c>
      <c r="AW57" s="27">
        <v>0.30600000000000005</v>
      </c>
    </row>
    <row r="58" spans="2:49" ht="15.75" x14ac:dyDescent="0.55000000000000004">
      <c r="C58" s="1" t="s">
        <v>175</v>
      </c>
      <c r="D58" t="str">
        <f>IF(AH20&lt;=AJ20,Liste!$D$7,Liste!$D$11)</f>
        <v>NON VERIFICATA. LA MOVIMENTAZIONE DEVE ESSERE CON FREQUENZA O DURATA INFERIORE</v>
      </c>
      <c r="AK58">
        <v>5.6</v>
      </c>
      <c r="AL58" s="27">
        <v>0.7699999999999998</v>
      </c>
      <c r="AM58" s="27">
        <v>0.7699999999999998</v>
      </c>
      <c r="AN58" s="27">
        <v>0.54000000000000026</v>
      </c>
      <c r="AO58" s="27">
        <v>0.54000000000000026</v>
      </c>
      <c r="AP58" s="27">
        <v>0.30200000000000027</v>
      </c>
      <c r="AQ58" s="27">
        <v>0.30200000000000027</v>
      </c>
      <c r="AT58" s="27">
        <v>5.7</v>
      </c>
      <c r="AU58" s="27">
        <v>0.76350000000000007</v>
      </c>
      <c r="AV58" s="27">
        <v>0.53300000000000003</v>
      </c>
      <c r="AW58" s="27">
        <v>0.29700000000000004</v>
      </c>
    </row>
    <row r="59" spans="2:49" x14ac:dyDescent="0.45">
      <c r="AK59">
        <v>5.7</v>
      </c>
      <c r="AL59" s="27">
        <v>0.76499999999999979</v>
      </c>
      <c r="AM59" s="27">
        <v>0.76499999999999979</v>
      </c>
      <c r="AN59" s="27">
        <v>0.53000000000000025</v>
      </c>
      <c r="AO59" s="27">
        <v>0.53000000000000025</v>
      </c>
      <c r="AP59" s="27">
        <v>0.29400000000000021</v>
      </c>
      <c r="AQ59" s="27">
        <v>0.29400000000000021</v>
      </c>
      <c r="AT59" s="27">
        <v>5.8</v>
      </c>
      <c r="AU59" s="27">
        <v>0.75900000000000001</v>
      </c>
      <c r="AV59" s="27">
        <v>0.52200000000000002</v>
      </c>
      <c r="AW59" s="27">
        <v>0.28800000000000003</v>
      </c>
    </row>
    <row r="60" spans="2:49" x14ac:dyDescent="0.45">
      <c r="AK60">
        <v>5.8</v>
      </c>
      <c r="AL60" s="27">
        <v>0.75999999999999979</v>
      </c>
      <c r="AM60" s="27">
        <v>0.75999999999999979</v>
      </c>
      <c r="AN60" s="27">
        <v>0.52000000000000024</v>
      </c>
      <c r="AO60" s="27">
        <v>0.52000000000000024</v>
      </c>
      <c r="AP60" s="27">
        <v>0.28600000000000025</v>
      </c>
      <c r="AQ60" s="27">
        <v>0.28600000000000025</v>
      </c>
      <c r="AT60" s="27">
        <v>5.9</v>
      </c>
      <c r="AU60" s="27">
        <v>0.75449999999999995</v>
      </c>
      <c r="AV60" s="27">
        <v>0.51100000000000001</v>
      </c>
      <c r="AW60" s="27">
        <v>0.27900000000000003</v>
      </c>
    </row>
    <row r="61" spans="2:49" x14ac:dyDescent="0.45">
      <c r="AK61">
        <v>5.9</v>
      </c>
      <c r="AL61" s="27">
        <v>0.75499999999999978</v>
      </c>
      <c r="AM61" s="27">
        <v>0.75499999999999978</v>
      </c>
      <c r="AN61" s="27">
        <v>0.51000000000000023</v>
      </c>
      <c r="AO61" s="27">
        <v>0.51000000000000023</v>
      </c>
      <c r="AP61" s="27">
        <v>0.27800000000000019</v>
      </c>
      <c r="AQ61" s="27">
        <v>0.27800000000000019</v>
      </c>
      <c r="AT61" s="27">
        <v>6</v>
      </c>
      <c r="AU61" s="27">
        <v>0.74999999999999989</v>
      </c>
      <c r="AV61" s="27">
        <v>0.5</v>
      </c>
      <c r="AW61" s="27">
        <v>0.26999999999999996</v>
      </c>
    </row>
    <row r="62" spans="2:49" x14ac:dyDescent="0.45">
      <c r="AK62">
        <v>6</v>
      </c>
      <c r="AL62" s="27">
        <v>0.74999999999999978</v>
      </c>
      <c r="AM62" s="27">
        <v>0.74999999999999978</v>
      </c>
      <c r="AN62" s="27">
        <v>0.49999999999999989</v>
      </c>
      <c r="AO62" s="27">
        <v>0.49999999999999989</v>
      </c>
      <c r="AP62" s="27">
        <v>0.26999999999999985</v>
      </c>
      <c r="AQ62" s="27">
        <v>0.26999999999999985</v>
      </c>
      <c r="AT62" s="27">
        <v>6.1</v>
      </c>
      <c r="AU62" s="27">
        <v>0.74233333333333329</v>
      </c>
      <c r="AV62" s="27">
        <v>0.4933333333333334</v>
      </c>
      <c r="AW62" s="27">
        <v>0.26600000000000001</v>
      </c>
    </row>
    <row r="63" spans="2:49" x14ac:dyDescent="0.45">
      <c r="AK63">
        <v>6.1</v>
      </c>
      <c r="AL63" s="27">
        <v>0.74499999999999977</v>
      </c>
      <c r="AM63" s="27">
        <v>0.74499999999999977</v>
      </c>
      <c r="AN63" s="27">
        <v>0.49199999999999994</v>
      </c>
      <c r="AO63" s="27">
        <v>0.49199999999999994</v>
      </c>
      <c r="AP63" s="27">
        <v>0.26499999999999985</v>
      </c>
      <c r="AQ63" s="27">
        <v>0.26499999999999985</v>
      </c>
      <c r="AT63" s="27">
        <v>6.2</v>
      </c>
      <c r="AU63" s="27">
        <v>0.73466666666666658</v>
      </c>
      <c r="AV63" s="27">
        <v>0.48666666666666669</v>
      </c>
      <c r="AW63" s="27">
        <v>0.26199999999999996</v>
      </c>
    </row>
    <row r="64" spans="2:49" x14ac:dyDescent="0.45">
      <c r="AK64">
        <v>6.2</v>
      </c>
      <c r="AL64" s="27">
        <v>0.73999999999999977</v>
      </c>
      <c r="AM64" s="27">
        <v>0.73999999999999977</v>
      </c>
      <c r="AN64" s="27">
        <v>0.48399999999999987</v>
      </c>
      <c r="AO64" s="27">
        <v>0.48399999999999987</v>
      </c>
      <c r="AP64" s="27">
        <v>0.25999999999999984</v>
      </c>
      <c r="AQ64" s="27">
        <v>0.25999999999999984</v>
      </c>
      <c r="AT64" s="27">
        <v>6.3</v>
      </c>
      <c r="AU64" s="27">
        <v>0.72699999999999987</v>
      </c>
      <c r="AV64" s="27">
        <v>0.48000000000000004</v>
      </c>
      <c r="AW64" s="27">
        <v>0.25799999999999995</v>
      </c>
    </row>
    <row r="65" spans="37:49" x14ac:dyDescent="0.45">
      <c r="AK65">
        <v>6.3</v>
      </c>
      <c r="AL65" s="27">
        <v>0.73499999999999976</v>
      </c>
      <c r="AM65" s="27">
        <v>0.73499999999999976</v>
      </c>
      <c r="AN65" s="27">
        <v>0.47599999999999987</v>
      </c>
      <c r="AO65" s="27">
        <v>0.47599999999999987</v>
      </c>
      <c r="AP65" s="27">
        <v>0.25499999999999984</v>
      </c>
      <c r="AQ65" s="27">
        <v>0.25499999999999984</v>
      </c>
      <c r="AT65" s="27">
        <v>6.4</v>
      </c>
      <c r="AU65" s="27">
        <v>0.71933333333333316</v>
      </c>
      <c r="AV65" s="27">
        <v>0.47333333333333333</v>
      </c>
      <c r="AW65" s="27">
        <v>0.25399999999999995</v>
      </c>
    </row>
    <row r="66" spans="37:49" x14ac:dyDescent="0.45">
      <c r="AK66">
        <v>6.4</v>
      </c>
      <c r="AL66" s="27">
        <v>0.72999999999999976</v>
      </c>
      <c r="AM66" s="27">
        <v>0.72999999999999976</v>
      </c>
      <c r="AN66" s="27">
        <v>0.46799999999999986</v>
      </c>
      <c r="AO66" s="27">
        <v>0.46799999999999986</v>
      </c>
      <c r="AP66" s="27">
        <v>0.24999999999999983</v>
      </c>
      <c r="AQ66" s="27">
        <v>0.24999999999999983</v>
      </c>
      <c r="AT66" s="27">
        <v>6.5</v>
      </c>
      <c r="AU66" s="27">
        <v>0.71166666666666656</v>
      </c>
      <c r="AV66" s="27">
        <v>0.46666666666666667</v>
      </c>
      <c r="AW66" s="27">
        <v>0.24999999999999994</v>
      </c>
    </row>
    <row r="67" spans="37:49" x14ac:dyDescent="0.45">
      <c r="AK67">
        <v>6.5</v>
      </c>
      <c r="AL67" s="27">
        <v>0.72499999999999976</v>
      </c>
      <c r="AM67" s="27">
        <v>0.72499999999999976</v>
      </c>
      <c r="AN67" s="27">
        <v>0.45999999999999985</v>
      </c>
      <c r="AO67" s="27">
        <v>0.45999999999999985</v>
      </c>
      <c r="AP67" s="27">
        <v>0.24499999999999983</v>
      </c>
      <c r="AQ67" s="27">
        <v>0.24499999999999983</v>
      </c>
      <c r="AT67" s="27">
        <v>6.6</v>
      </c>
      <c r="AU67" s="27">
        <v>0.70399999999999996</v>
      </c>
      <c r="AV67" s="27">
        <v>0.46000000000000008</v>
      </c>
      <c r="AW67" s="27">
        <v>0.246</v>
      </c>
    </row>
    <row r="68" spans="37:49" x14ac:dyDescent="0.45">
      <c r="AK68">
        <v>6.6</v>
      </c>
      <c r="AL68" s="27">
        <v>0.71999999999999975</v>
      </c>
      <c r="AM68" s="27">
        <v>0.71999999999999975</v>
      </c>
      <c r="AN68" s="27">
        <v>0.45199999999999996</v>
      </c>
      <c r="AO68" s="27">
        <v>0.45199999999999996</v>
      </c>
      <c r="AP68" s="27">
        <v>0.23999999999999988</v>
      </c>
      <c r="AQ68" s="27">
        <v>0.23999999999999988</v>
      </c>
      <c r="AT68" s="27">
        <v>6.7</v>
      </c>
      <c r="AU68" s="27">
        <v>0.69633333333333325</v>
      </c>
      <c r="AV68" s="27">
        <v>0.45333333333333337</v>
      </c>
      <c r="AW68" s="27">
        <v>0.24199999999999994</v>
      </c>
    </row>
    <row r="69" spans="37:49" x14ac:dyDescent="0.45">
      <c r="AK69">
        <v>6.7</v>
      </c>
      <c r="AL69" s="27">
        <v>0.71499999999999975</v>
      </c>
      <c r="AM69" s="27">
        <v>0.71499999999999975</v>
      </c>
      <c r="AN69" s="27">
        <v>0.44399999999999984</v>
      </c>
      <c r="AO69" s="27">
        <v>0.44399999999999984</v>
      </c>
      <c r="AP69" s="27">
        <v>0.23499999999999982</v>
      </c>
      <c r="AQ69" s="27">
        <v>0.23499999999999982</v>
      </c>
      <c r="AT69" s="27">
        <v>6.8</v>
      </c>
      <c r="AU69" s="27">
        <v>0.68866666666666654</v>
      </c>
      <c r="AV69" s="27">
        <v>0.44666666666666671</v>
      </c>
      <c r="AW69" s="27">
        <v>0.23799999999999999</v>
      </c>
    </row>
    <row r="70" spans="37:49" x14ac:dyDescent="0.45">
      <c r="AK70">
        <v>6.8</v>
      </c>
      <c r="AL70" s="27">
        <v>0.70999999999999974</v>
      </c>
      <c r="AM70" s="27">
        <v>0.70999999999999974</v>
      </c>
      <c r="AN70" s="27">
        <v>0.43599999999999994</v>
      </c>
      <c r="AO70" s="27">
        <v>0.43599999999999994</v>
      </c>
      <c r="AP70" s="27">
        <v>0.22999999999999987</v>
      </c>
      <c r="AQ70" s="27">
        <v>0.22999999999999987</v>
      </c>
      <c r="AT70" s="27">
        <v>6.9</v>
      </c>
      <c r="AU70" s="27">
        <v>0.68099999999999983</v>
      </c>
      <c r="AV70" s="27">
        <v>0.44</v>
      </c>
      <c r="AW70" s="27">
        <v>0.23399999999999993</v>
      </c>
    </row>
    <row r="71" spans="37:49" x14ac:dyDescent="0.45">
      <c r="AK71">
        <v>6.9</v>
      </c>
      <c r="AL71" s="27">
        <v>0.70499999999999974</v>
      </c>
      <c r="AM71" s="27">
        <v>0.70499999999999974</v>
      </c>
      <c r="AN71" s="27">
        <v>0.42799999999999983</v>
      </c>
      <c r="AO71" s="27">
        <v>0.42799999999999983</v>
      </c>
      <c r="AP71" s="27">
        <v>0.22499999999999981</v>
      </c>
      <c r="AQ71" s="27">
        <v>0.22499999999999981</v>
      </c>
      <c r="AT71" s="27">
        <v>7</v>
      </c>
      <c r="AU71" s="27">
        <v>0.67333333333333323</v>
      </c>
      <c r="AV71" s="27">
        <v>0.43333333333333335</v>
      </c>
      <c r="AW71" s="27">
        <v>0.22999999999999998</v>
      </c>
    </row>
    <row r="72" spans="37:49" x14ac:dyDescent="0.45">
      <c r="AK72">
        <v>7</v>
      </c>
      <c r="AL72" s="27">
        <v>0.70000000000000007</v>
      </c>
      <c r="AM72" s="27">
        <v>0.70000000000000007</v>
      </c>
      <c r="AN72" s="27">
        <v>0.42</v>
      </c>
      <c r="AO72" s="27">
        <v>0.42</v>
      </c>
      <c r="AP72" s="27">
        <v>0.21999999999999997</v>
      </c>
      <c r="AQ72" s="27">
        <v>0.21999999999999997</v>
      </c>
      <c r="AT72" s="27">
        <v>7.1</v>
      </c>
      <c r="AU72" s="27">
        <v>0.66566666666666663</v>
      </c>
      <c r="AV72" s="27">
        <v>0.42666666666666669</v>
      </c>
      <c r="AW72" s="27">
        <v>0.22599999999999998</v>
      </c>
    </row>
    <row r="73" spans="37:49" x14ac:dyDescent="0.45">
      <c r="AK73">
        <v>7.1</v>
      </c>
      <c r="AL73" s="27">
        <v>0.69000000000000006</v>
      </c>
      <c r="AM73" s="27">
        <v>0.69000000000000006</v>
      </c>
      <c r="AN73" s="27">
        <v>0.41300000000000003</v>
      </c>
      <c r="AO73" s="27">
        <v>0.41300000000000003</v>
      </c>
      <c r="AP73" s="27">
        <v>0.21599999999999997</v>
      </c>
      <c r="AQ73" s="27">
        <v>0.21599999999999997</v>
      </c>
      <c r="AT73" s="27">
        <v>7.2</v>
      </c>
      <c r="AU73" s="27">
        <v>0.65799999999999992</v>
      </c>
      <c r="AV73" s="27">
        <v>0.42000000000000004</v>
      </c>
      <c r="AW73" s="27">
        <v>0.22199999999999992</v>
      </c>
    </row>
    <row r="74" spans="37:49" x14ac:dyDescent="0.45">
      <c r="AK74">
        <v>7.2</v>
      </c>
      <c r="AL74" s="27">
        <v>0.68</v>
      </c>
      <c r="AM74" s="27">
        <v>0.68</v>
      </c>
      <c r="AN74" s="27">
        <v>0.40599999999999992</v>
      </c>
      <c r="AO74" s="27">
        <v>0.40599999999999992</v>
      </c>
      <c r="AP74" s="27">
        <v>0.21199999999999991</v>
      </c>
      <c r="AQ74" s="27">
        <v>0.21199999999999991</v>
      </c>
      <c r="AT74" s="27">
        <v>7.3</v>
      </c>
      <c r="AU74" s="27">
        <v>0.65033333333333321</v>
      </c>
      <c r="AV74" s="27">
        <v>0.41333333333333339</v>
      </c>
      <c r="AW74" s="27">
        <v>0.21799999999999997</v>
      </c>
    </row>
    <row r="75" spans="37:49" x14ac:dyDescent="0.45">
      <c r="AK75">
        <v>7.3</v>
      </c>
      <c r="AL75" s="27">
        <v>0.67</v>
      </c>
      <c r="AM75" s="27">
        <v>0.67</v>
      </c>
      <c r="AN75" s="27">
        <v>0.39900000000000002</v>
      </c>
      <c r="AO75" s="27">
        <v>0.39900000000000002</v>
      </c>
      <c r="AP75" s="27">
        <v>0.20799999999999996</v>
      </c>
      <c r="AQ75" s="27">
        <v>0.20799999999999996</v>
      </c>
      <c r="AT75" s="27">
        <v>7.4</v>
      </c>
      <c r="AU75" s="27">
        <v>0.6426666666666665</v>
      </c>
      <c r="AV75" s="27">
        <v>0.40666666666666668</v>
      </c>
      <c r="AW75" s="27">
        <v>0.21399999999999991</v>
      </c>
    </row>
    <row r="76" spans="37:49" x14ac:dyDescent="0.45">
      <c r="AK76">
        <v>7.4</v>
      </c>
      <c r="AL76" s="27">
        <v>0.66</v>
      </c>
      <c r="AM76" s="27">
        <v>0.66</v>
      </c>
      <c r="AN76" s="27">
        <v>0.3919999999999999</v>
      </c>
      <c r="AO76" s="27">
        <v>0.3919999999999999</v>
      </c>
      <c r="AP76" s="27">
        <v>0.2039999999999999</v>
      </c>
      <c r="AQ76" s="27">
        <v>0.2039999999999999</v>
      </c>
      <c r="AT76" s="27">
        <v>7.5</v>
      </c>
      <c r="AU76" s="27">
        <v>0.6349999999999999</v>
      </c>
      <c r="AV76" s="27">
        <v>0.4</v>
      </c>
      <c r="AW76" s="27">
        <v>0.20999999999999996</v>
      </c>
    </row>
    <row r="77" spans="37:49" x14ac:dyDescent="0.45">
      <c r="AK77">
        <v>7.5</v>
      </c>
      <c r="AL77" s="27">
        <v>0.65000000000000013</v>
      </c>
      <c r="AM77" s="27">
        <v>0.65000000000000013</v>
      </c>
      <c r="AN77" s="27">
        <v>0.38500000000000001</v>
      </c>
      <c r="AO77" s="27">
        <v>0.38500000000000001</v>
      </c>
      <c r="AP77" s="27">
        <v>0.19999999999999996</v>
      </c>
      <c r="AQ77" s="27">
        <v>0.19999999999999996</v>
      </c>
      <c r="AT77" s="27">
        <v>7.6</v>
      </c>
      <c r="AU77" s="27">
        <v>0.6273333333333333</v>
      </c>
      <c r="AV77" s="27">
        <v>0.39333333333333342</v>
      </c>
      <c r="AW77" s="27">
        <v>0.20599999999999996</v>
      </c>
    </row>
    <row r="78" spans="37:49" x14ac:dyDescent="0.45">
      <c r="AK78">
        <v>7.6</v>
      </c>
      <c r="AL78" s="27">
        <v>0.64000000000000012</v>
      </c>
      <c r="AM78" s="27">
        <v>0.64000000000000012</v>
      </c>
      <c r="AN78" s="27">
        <v>0.378</v>
      </c>
      <c r="AO78" s="27">
        <v>0.378</v>
      </c>
      <c r="AP78" s="27">
        <v>0.19599999999999995</v>
      </c>
      <c r="AQ78" s="27">
        <v>0.19599999999999995</v>
      </c>
      <c r="AT78" s="27">
        <v>7.7</v>
      </c>
      <c r="AU78" s="27">
        <v>0.61966666666666659</v>
      </c>
      <c r="AV78" s="27">
        <v>0.38666666666666671</v>
      </c>
      <c r="AW78" s="27">
        <v>0.20199999999999996</v>
      </c>
    </row>
    <row r="79" spans="37:49" x14ac:dyDescent="0.45">
      <c r="AK79">
        <v>7.7</v>
      </c>
      <c r="AL79" s="27">
        <v>0.63000000000000012</v>
      </c>
      <c r="AM79" s="27">
        <v>0.63000000000000012</v>
      </c>
      <c r="AN79" s="27">
        <v>0.371</v>
      </c>
      <c r="AO79" s="27">
        <v>0.371</v>
      </c>
      <c r="AP79" s="27">
        <v>0.19199999999999995</v>
      </c>
      <c r="AQ79" s="27">
        <v>0.19199999999999995</v>
      </c>
      <c r="AT79" s="27">
        <v>7.8</v>
      </c>
      <c r="AU79" s="27">
        <v>0.61199999999999988</v>
      </c>
      <c r="AV79" s="27">
        <v>0.38</v>
      </c>
      <c r="AW79" s="27">
        <v>0.19799999999999995</v>
      </c>
    </row>
    <row r="80" spans="37:49" x14ac:dyDescent="0.45">
      <c r="AK80">
        <v>7.8</v>
      </c>
      <c r="AL80" s="27">
        <v>0.62000000000000011</v>
      </c>
      <c r="AM80" s="27">
        <v>0.62000000000000011</v>
      </c>
      <c r="AN80" s="27">
        <v>0.36399999999999999</v>
      </c>
      <c r="AO80" s="27">
        <v>0.36399999999999999</v>
      </c>
      <c r="AP80" s="27">
        <v>0.18799999999999994</v>
      </c>
      <c r="AQ80" s="27">
        <v>0.18799999999999994</v>
      </c>
      <c r="AT80" s="27">
        <v>7.9</v>
      </c>
      <c r="AU80" s="27">
        <v>0.60433333333333317</v>
      </c>
      <c r="AV80" s="27">
        <v>0.37333333333333329</v>
      </c>
      <c r="AW80" s="27">
        <v>0.19399999999999995</v>
      </c>
    </row>
    <row r="81" spans="37:49" x14ac:dyDescent="0.45">
      <c r="AK81">
        <v>7.9</v>
      </c>
      <c r="AL81" s="27">
        <v>0.6100000000000001</v>
      </c>
      <c r="AM81" s="27">
        <v>0.6100000000000001</v>
      </c>
      <c r="AN81" s="27">
        <v>0.35699999999999998</v>
      </c>
      <c r="AO81" s="27">
        <v>0.35699999999999998</v>
      </c>
      <c r="AP81" s="27">
        <v>0.18399999999999994</v>
      </c>
      <c r="AQ81" s="27">
        <v>0.18399999999999994</v>
      </c>
      <c r="AT81" s="27">
        <v>8</v>
      </c>
      <c r="AU81" s="27">
        <v>0.59666666666666657</v>
      </c>
      <c r="AV81" s="27">
        <v>0.3666666666666667</v>
      </c>
      <c r="AW81" s="27">
        <v>0.18999999999999995</v>
      </c>
    </row>
    <row r="82" spans="37:49" x14ac:dyDescent="0.45">
      <c r="AK82">
        <v>8</v>
      </c>
      <c r="AL82" s="27">
        <v>0.60000000000000031</v>
      </c>
      <c r="AM82" s="27">
        <v>0.60000000000000031</v>
      </c>
      <c r="AN82" s="27">
        <v>0.35000000000000009</v>
      </c>
      <c r="AO82" s="27">
        <v>0.35000000000000009</v>
      </c>
      <c r="AP82" s="27">
        <v>0.18000000000000016</v>
      </c>
      <c r="AQ82" s="27">
        <v>0.18</v>
      </c>
      <c r="AT82" s="27">
        <v>8.1</v>
      </c>
      <c r="AU82" s="27">
        <v>0.58899999999999997</v>
      </c>
      <c r="AV82" s="27">
        <v>0.3600000000000001</v>
      </c>
      <c r="AW82" s="27">
        <v>0.18599999999999994</v>
      </c>
    </row>
    <row r="83" spans="37:49" x14ac:dyDescent="0.45">
      <c r="AK83">
        <v>8.1</v>
      </c>
      <c r="AL83" s="27">
        <v>0.5920000000000003</v>
      </c>
      <c r="AM83" s="27">
        <v>0.5920000000000003</v>
      </c>
      <c r="AN83" s="27">
        <v>0.34500000000000008</v>
      </c>
      <c r="AO83" s="27">
        <v>0.34500000000000008</v>
      </c>
      <c r="AP83" s="27">
        <v>0.16200000000000014</v>
      </c>
      <c r="AQ83" s="27">
        <v>0.17699999999999999</v>
      </c>
      <c r="AT83" s="27">
        <v>8.1999999999999993</v>
      </c>
      <c r="AU83" s="27">
        <v>0.58133333333333326</v>
      </c>
      <c r="AV83" s="27">
        <v>0.35333333333333339</v>
      </c>
      <c r="AW83" s="27">
        <v>0.182</v>
      </c>
    </row>
    <row r="84" spans="37:49" x14ac:dyDescent="0.45">
      <c r="AK84">
        <v>8.1999999999999993</v>
      </c>
      <c r="AL84" s="27">
        <v>0.58400000000000041</v>
      </c>
      <c r="AM84" s="27">
        <v>0.58400000000000041</v>
      </c>
      <c r="AN84" s="27">
        <v>0.34000000000000014</v>
      </c>
      <c r="AO84" s="27">
        <v>0.34000000000000014</v>
      </c>
      <c r="AP84" s="27">
        <v>0.14400000000000035</v>
      </c>
      <c r="AQ84" s="27">
        <v>0.17400000000000002</v>
      </c>
      <c r="AT84" s="27">
        <v>8.3000000000000007</v>
      </c>
      <c r="AU84" s="27">
        <v>0.57366666666666655</v>
      </c>
      <c r="AV84" s="27">
        <v>0.34666666666666668</v>
      </c>
      <c r="AW84" s="27">
        <v>0.17799999999999994</v>
      </c>
    </row>
    <row r="85" spans="37:49" x14ac:dyDescent="0.45">
      <c r="AK85">
        <v>8.3000000000000007</v>
      </c>
      <c r="AL85" s="27">
        <v>0.57600000000000029</v>
      </c>
      <c r="AM85" s="27">
        <v>0.57600000000000029</v>
      </c>
      <c r="AN85" s="27">
        <v>0.33500000000000008</v>
      </c>
      <c r="AO85" s="27">
        <v>0.33500000000000008</v>
      </c>
      <c r="AP85" s="27">
        <v>0.12600000000000011</v>
      </c>
      <c r="AQ85" s="27">
        <v>0.17099999999999999</v>
      </c>
      <c r="AT85" s="27">
        <v>8.4</v>
      </c>
      <c r="AU85" s="27">
        <v>0.56599999999999984</v>
      </c>
      <c r="AV85" s="27">
        <v>0.33999999999999997</v>
      </c>
      <c r="AW85" s="27">
        <v>0.17399999999999993</v>
      </c>
    </row>
    <row r="86" spans="37:49" x14ac:dyDescent="0.45">
      <c r="AK86">
        <v>8.4</v>
      </c>
      <c r="AL86" s="27">
        <v>0.56800000000000028</v>
      </c>
      <c r="AM86" s="27">
        <v>0.56800000000000028</v>
      </c>
      <c r="AN86" s="27">
        <v>0.33000000000000007</v>
      </c>
      <c r="AO86" s="27">
        <v>0.33000000000000007</v>
      </c>
      <c r="AP86" s="27">
        <v>0.1080000000000001</v>
      </c>
      <c r="AQ86" s="27">
        <v>0.16799999999999998</v>
      </c>
      <c r="AT86" s="27">
        <v>8.5</v>
      </c>
      <c r="AU86" s="27">
        <v>0.55833333333333324</v>
      </c>
      <c r="AV86" s="27">
        <v>0.33333333333333337</v>
      </c>
      <c r="AW86" s="27">
        <v>0.16999999999999993</v>
      </c>
    </row>
    <row r="87" spans="37:49" x14ac:dyDescent="0.45">
      <c r="AK87">
        <v>8.5</v>
      </c>
      <c r="AL87" s="27">
        <v>0.56000000000000028</v>
      </c>
      <c r="AM87" s="27">
        <v>0.56000000000000028</v>
      </c>
      <c r="AN87" s="27">
        <v>0.32500000000000007</v>
      </c>
      <c r="AO87" s="27">
        <v>0.32500000000000007</v>
      </c>
      <c r="AP87" s="27">
        <v>9.000000000000008E-2</v>
      </c>
      <c r="AQ87" s="27">
        <v>0.16499999999999998</v>
      </c>
      <c r="AT87" s="27">
        <v>8.6</v>
      </c>
      <c r="AU87" s="27">
        <v>0.55066666666666664</v>
      </c>
      <c r="AV87" s="27">
        <v>0.32666666666666677</v>
      </c>
      <c r="AW87" s="27">
        <v>0.16599999999999998</v>
      </c>
    </row>
    <row r="88" spans="37:49" x14ac:dyDescent="0.45">
      <c r="AK88">
        <v>8.6</v>
      </c>
      <c r="AL88" s="27">
        <v>0.55200000000000038</v>
      </c>
      <c r="AM88" s="27">
        <v>0.55200000000000038</v>
      </c>
      <c r="AN88" s="27">
        <v>0.32000000000000012</v>
      </c>
      <c r="AO88" s="27">
        <v>0.32000000000000012</v>
      </c>
      <c r="AP88" s="27">
        <v>7.2000000000000286E-2</v>
      </c>
      <c r="AQ88" s="27">
        <v>0.16199999999999998</v>
      </c>
      <c r="AT88" s="27">
        <v>8.6999999999999993</v>
      </c>
      <c r="AU88" s="27">
        <v>0.54299999999999993</v>
      </c>
      <c r="AV88" s="27">
        <v>0.32000000000000006</v>
      </c>
      <c r="AW88" s="27">
        <v>0.16199999999999998</v>
      </c>
    </row>
    <row r="89" spans="37:49" x14ac:dyDescent="0.45">
      <c r="AK89">
        <v>8.6999999999999993</v>
      </c>
      <c r="AL89" s="27">
        <v>0.54400000000000037</v>
      </c>
      <c r="AM89" s="27">
        <v>0.54400000000000037</v>
      </c>
      <c r="AN89" s="27">
        <v>0.31500000000000011</v>
      </c>
      <c r="AO89" s="27">
        <v>0.31500000000000011</v>
      </c>
      <c r="AP89" s="27">
        <v>5.400000000000027E-2</v>
      </c>
      <c r="AQ89" s="27">
        <v>0.15900000000000003</v>
      </c>
      <c r="AT89" s="27">
        <v>8.8000000000000007</v>
      </c>
      <c r="AU89" s="27">
        <v>0.53533333333333322</v>
      </c>
      <c r="AV89" s="27">
        <v>0.31333333333333335</v>
      </c>
      <c r="AW89" s="27">
        <v>0.15799999999999992</v>
      </c>
    </row>
    <row r="90" spans="37:49" x14ac:dyDescent="0.45">
      <c r="AK90">
        <v>8.8000000000000007</v>
      </c>
      <c r="AL90" s="27">
        <v>0.53600000000000025</v>
      </c>
      <c r="AM90" s="27">
        <v>0.53600000000000025</v>
      </c>
      <c r="AN90" s="27">
        <v>0.31000000000000005</v>
      </c>
      <c r="AO90" s="27">
        <v>0.31000000000000005</v>
      </c>
      <c r="AP90" s="27">
        <v>3.6000000000000032E-2</v>
      </c>
      <c r="AQ90" s="27">
        <v>0.15599999999999997</v>
      </c>
      <c r="AT90" s="27">
        <v>8.9</v>
      </c>
      <c r="AU90" s="27">
        <v>0.52766666666666651</v>
      </c>
      <c r="AV90" s="27">
        <v>0.30666666666666664</v>
      </c>
      <c r="AW90" s="27">
        <v>0.15399999999999991</v>
      </c>
    </row>
    <row r="91" spans="37:49" x14ac:dyDescent="0.45">
      <c r="AK91">
        <v>8.9</v>
      </c>
      <c r="AL91" s="27">
        <v>0.52800000000000036</v>
      </c>
      <c r="AM91" s="27">
        <v>0.52800000000000036</v>
      </c>
      <c r="AN91" s="27">
        <v>0.3050000000000001</v>
      </c>
      <c r="AO91" s="27">
        <v>0.3050000000000001</v>
      </c>
      <c r="AP91" s="27">
        <v>1.8000000000000016E-2</v>
      </c>
      <c r="AQ91" s="27">
        <v>0.15299999999999997</v>
      </c>
      <c r="AT91" s="27">
        <v>9</v>
      </c>
      <c r="AU91" s="27">
        <v>0.52</v>
      </c>
      <c r="AV91" s="27">
        <v>0.29999999999999993</v>
      </c>
      <c r="AW91" s="27">
        <v>0.15000000000000002</v>
      </c>
    </row>
    <row r="92" spans="37:49" x14ac:dyDescent="0.45">
      <c r="AK92">
        <v>9</v>
      </c>
      <c r="AL92" s="27">
        <v>0.5199999999999998</v>
      </c>
      <c r="AM92" s="27">
        <v>0.5199999999999998</v>
      </c>
      <c r="AN92" s="27">
        <v>0.30000000000000021</v>
      </c>
      <c r="AO92" s="27">
        <v>0.30000000000000021</v>
      </c>
      <c r="AP92" s="27">
        <v>0</v>
      </c>
      <c r="AQ92" s="27">
        <v>0.15000000000000011</v>
      </c>
      <c r="AT92" s="27">
        <v>9.1</v>
      </c>
      <c r="AU92" s="27">
        <v>0.51500000000000001</v>
      </c>
      <c r="AV92" s="27">
        <v>0.29699999999999999</v>
      </c>
      <c r="AW92" s="27">
        <v>0.14500000000000002</v>
      </c>
    </row>
    <row r="93" spans="37:49" x14ac:dyDescent="0.45">
      <c r="AK93">
        <v>9.1</v>
      </c>
      <c r="AL93" s="27">
        <v>0.5129999999999999</v>
      </c>
      <c r="AM93" s="27">
        <v>0.5129999999999999</v>
      </c>
      <c r="AN93" s="27">
        <v>0.29600000000000021</v>
      </c>
      <c r="AO93" s="27">
        <v>0.29600000000000021</v>
      </c>
      <c r="AP93">
        <v>0</v>
      </c>
      <c r="AQ93" s="27">
        <v>0.1480000000000001</v>
      </c>
      <c r="AT93" s="27">
        <v>9.1999999999999993</v>
      </c>
      <c r="AU93" s="27">
        <v>0.51</v>
      </c>
      <c r="AV93" s="27">
        <v>0.29399999999999998</v>
      </c>
      <c r="AW93" s="27">
        <v>0.14000000000000007</v>
      </c>
    </row>
    <row r="94" spans="37:49" x14ac:dyDescent="0.45">
      <c r="AK94">
        <v>9.1999999999999993</v>
      </c>
      <c r="AL94" s="27">
        <v>0.50599999999999989</v>
      </c>
      <c r="AM94" s="27">
        <v>0.50599999999999989</v>
      </c>
      <c r="AN94" s="27">
        <v>0.29200000000000026</v>
      </c>
      <c r="AO94" s="27">
        <v>0.29200000000000026</v>
      </c>
      <c r="AP94">
        <v>0</v>
      </c>
      <c r="AQ94" s="27">
        <v>0.14600000000000013</v>
      </c>
      <c r="AT94" s="27">
        <v>9.3000000000000007</v>
      </c>
      <c r="AU94" s="27">
        <v>0.50499999999999989</v>
      </c>
      <c r="AV94" s="27">
        <v>0.29099999999999993</v>
      </c>
      <c r="AW94" s="27">
        <v>0.13499999999999995</v>
      </c>
    </row>
    <row r="95" spans="37:49" x14ac:dyDescent="0.45">
      <c r="AK95">
        <v>9.3000000000000007</v>
      </c>
      <c r="AL95" s="27">
        <v>0.49899999999999978</v>
      </c>
      <c r="AM95" s="27">
        <v>0.49899999999999978</v>
      </c>
      <c r="AN95" s="27">
        <v>0.2880000000000002</v>
      </c>
      <c r="AO95" s="27">
        <v>0.2880000000000002</v>
      </c>
      <c r="AP95">
        <v>0</v>
      </c>
      <c r="AQ95" s="27">
        <v>0.1440000000000001</v>
      </c>
      <c r="AT95" s="27">
        <v>9.4</v>
      </c>
      <c r="AU95" s="27">
        <v>0.5</v>
      </c>
      <c r="AV95" s="27">
        <v>0.28799999999999998</v>
      </c>
      <c r="AW95" s="27">
        <v>0.13</v>
      </c>
    </row>
    <row r="96" spans="37:49" x14ac:dyDescent="0.45">
      <c r="AK96">
        <v>9.4</v>
      </c>
      <c r="AL96" s="27">
        <v>0.49199999999999977</v>
      </c>
      <c r="AM96" s="27">
        <v>0.49199999999999977</v>
      </c>
      <c r="AN96" s="27">
        <v>0.2840000000000002</v>
      </c>
      <c r="AO96" s="27">
        <v>0.2840000000000002</v>
      </c>
      <c r="AP96">
        <v>0</v>
      </c>
      <c r="AQ96" s="27">
        <v>0.1420000000000001</v>
      </c>
      <c r="AT96" s="27">
        <v>9.5</v>
      </c>
      <c r="AU96" s="27">
        <v>0.495</v>
      </c>
      <c r="AV96" s="27">
        <v>0.28499999999999998</v>
      </c>
      <c r="AW96" s="27">
        <v>0.125</v>
      </c>
    </row>
    <row r="97" spans="37:49" x14ac:dyDescent="0.45">
      <c r="AK97">
        <v>9.5</v>
      </c>
      <c r="AL97" s="27">
        <v>0.48499999999999988</v>
      </c>
      <c r="AM97" s="27">
        <v>0.48499999999999988</v>
      </c>
      <c r="AN97" s="27">
        <v>0.28000000000000025</v>
      </c>
      <c r="AO97" s="27">
        <v>0.28000000000000025</v>
      </c>
      <c r="AP97">
        <v>0</v>
      </c>
      <c r="AQ97" s="27">
        <v>0.14000000000000012</v>
      </c>
      <c r="AT97" s="27">
        <v>9.6</v>
      </c>
      <c r="AU97" s="27">
        <v>0.49000000000000005</v>
      </c>
      <c r="AV97" s="27">
        <v>0.28199999999999997</v>
      </c>
      <c r="AW97" s="27">
        <v>0.12000000000000005</v>
      </c>
    </row>
    <row r="98" spans="37:49" x14ac:dyDescent="0.45">
      <c r="AK98">
        <v>9.6</v>
      </c>
      <c r="AL98" s="27">
        <v>0.47799999999999987</v>
      </c>
      <c r="AM98" s="27">
        <v>0.47799999999999987</v>
      </c>
      <c r="AN98" s="27">
        <v>0.27600000000000025</v>
      </c>
      <c r="AO98" s="27">
        <v>0.27600000000000025</v>
      </c>
      <c r="AP98">
        <v>0</v>
      </c>
      <c r="AQ98" s="27">
        <v>0.13800000000000012</v>
      </c>
      <c r="AT98" s="27">
        <v>9.6999999999999993</v>
      </c>
      <c r="AU98" s="27">
        <v>0.48500000000000004</v>
      </c>
      <c r="AV98" s="27">
        <v>0.27899999999999997</v>
      </c>
      <c r="AW98" s="27">
        <v>0.11500000000000005</v>
      </c>
    </row>
    <row r="99" spans="37:49" x14ac:dyDescent="0.45">
      <c r="AK99">
        <v>9.6999999999999993</v>
      </c>
      <c r="AL99" s="27">
        <v>0.47099999999999986</v>
      </c>
      <c r="AM99" s="27">
        <v>0.47099999999999986</v>
      </c>
      <c r="AN99" s="27">
        <v>0.27200000000000024</v>
      </c>
      <c r="AO99" s="27">
        <v>0.27200000000000024</v>
      </c>
      <c r="AP99">
        <v>0</v>
      </c>
      <c r="AQ99" s="27">
        <v>0.13600000000000012</v>
      </c>
      <c r="AT99" s="27">
        <v>9.8000000000000007</v>
      </c>
      <c r="AU99" s="27">
        <v>0.48</v>
      </c>
      <c r="AV99" s="27">
        <v>0.27599999999999997</v>
      </c>
      <c r="AW99" s="27">
        <v>0.10999999999999999</v>
      </c>
    </row>
    <row r="100" spans="37:49" x14ac:dyDescent="0.45">
      <c r="AK100">
        <v>9.8000000000000007</v>
      </c>
      <c r="AL100" s="27">
        <v>0.46399999999999975</v>
      </c>
      <c r="AM100" s="27">
        <v>0.46399999999999975</v>
      </c>
      <c r="AN100" s="27">
        <v>0.26800000000000018</v>
      </c>
      <c r="AO100" s="27">
        <v>0.26800000000000018</v>
      </c>
      <c r="AP100">
        <v>0</v>
      </c>
      <c r="AQ100" s="27">
        <v>0.13400000000000009</v>
      </c>
      <c r="AT100" s="27">
        <v>9.9</v>
      </c>
      <c r="AU100" s="27">
        <v>0.47499999999999998</v>
      </c>
      <c r="AV100" s="27">
        <v>0.27299999999999996</v>
      </c>
      <c r="AW100" s="27">
        <v>0.10499999999999998</v>
      </c>
    </row>
    <row r="101" spans="37:49" x14ac:dyDescent="0.45">
      <c r="AK101">
        <v>9.9</v>
      </c>
      <c r="AL101" s="27">
        <v>0.45699999999999985</v>
      </c>
      <c r="AM101" s="27">
        <v>0.45699999999999985</v>
      </c>
      <c r="AN101" s="27">
        <v>0.26400000000000023</v>
      </c>
      <c r="AO101" s="27">
        <v>0.26400000000000023</v>
      </c>
      <c r="AP101">
        <v>0</v>
      </c>
      <c r="AQ101" s="27">
        <v>0.13200000000000012</v>
      </c>
      <c r="AT101" s="27">
        <v>10</v>
      </c>
      <c r="AU101" s="27">
        <v>0.47000000000000003</v>
      </c>
      <c r="AV101" s="27">
        <v>0.26999999999999996</v>
      </c>
      <c r="AW101" s="27">
        <v>0.10000000000000003</v>
      </c>
    </row>
    <row r="102" spans="37:49" x14ac:dyDescent="0.45">
      <c r="AK102">
        <v>10</v>
      </c>
      <c r="AL102" s="27">
        <v>0.44999999999999962</v>
      </c>
      <c r="AM102" s="27">
        <v>0.44999999999999962</v>
      </c>
      <c r="AN102" s="27">
        <v>0.25999999999999979</v>
      </c>
      <c r="AO102" s="27">
        <v>0.26000000000000006</v>
      </c>
      <c r="AP102">
        <v>0</v>
      </c>
      <c r="AQ102" s="27">
        <v>0.12999999999999989</v>
      </c>
      <c r="AT102" s="27">
        <v>10.1</v>
      </c>
      <c r="AU102" s="27">
        <v>0.46500000000000008</v>
      </c>
      <c r="AV102" s="27">
        <v>0.26699999999999996</v>
      </c>
      <c r="AW102" s="27">
        <v>9.5000000000000084E-2</v>
      </c>
    </row>
    <row r="103" spans="37:49" x14ac:dyDescent="0.45">
      <c r="AK103">
        <v>10.1</v>
      </c>
      <c r="AL103" s="27">
        <v>0.44599999999999962</v>
      </c>
      <c r="AM103" s="27">
        <v>0.44599999999999962</v>
      </c>
      <c r="AN103" s="27">
        <v>0.23399999999999999</v>
      </c>
      <c r="AO103" s="27">
        <v>0.25700000000000006</v>
      </c>
      <c r="AP103">
        <v>0</v>
      </c>
      <c r="AQ103" s="27">
        <v>0.11699999999999999</v>
      </c>
      <c r="AT103" s="27">
        <v>10.199999999999999</v>
      </c>
      <c r="AU103" s="27">
        <v>0.46000000000000008</v>
      </c>
      <c r="AV103" s="27">
        <v>0.26399999999999996</v>
      </c>
      <c r="AW103" s="27">
        <v>9.000000000000008E-2</v>
      </c>
    </row>
    <row r="104" spans="37:49" x14ac:dyDescent="0.45">
      <c r="AK104">
        <v>10.199999999999999</v>
      </c>
      <c r="AL104" s="27">
        <v>0.44199999999999967</v>
      </c>
      <c r="AM104" s="27">
        <v>0.44199999999999967</v>
      </c>
      <c r="AN104" s="27">
        <v>0.20800000000000018</v>
      </c>
      <c r="AO104" s="27">
        <v>0.25400000000000006</v>
      </c>
      <c r="AP104">
        <v>0</v>
      </c>
      <c r="AQ104" s="27">
        <v>0.10400000000000009</v>
      </c>
      <c r="AT104" s="27">
        <v>10.3</v>
      </c>
      <c r="AU104" s="27">
        <v>0.45499999999999996</v>
      </c>
      <c r="AV104" s="27">
        <v>0.26099999999999995</v>
      </c>
      <c r="AW104" s="27">
        <v>8.4999999999999964E-2</v>
      </c>
    </row>
    <row r="105" spans="37:49" x14ac:dyDescent="0.45">
      <c r="AK105">
        <v>10.3</v>
      </c>
      <c r="AL105" s="27">
        <v>0.43799999999999956</v>
      </c>
      <c r="AM105" s="27">
        <v>0.43799999999999956</v>
      </c>
      <c r="AN105" s="27">
        <v>0.1819999999999995</v>
      </c>
      <c r="AO105" s="27">
        <v>0.25100000000000006</v>
      </c>
      <c r="AP105">
        <v>0</v>
      </c>
      <c r="AQ105" s="27">
        <v>9.0999999999999748E-2</v>
      </c>
      <c r="AT105" s="27">
        <v>10.4</v>
      </c>
      <c r="AU105" s="27">
        <v>0.44999999999999996</v>
      </c>
      <c r="AV105" s="27">
        <v>0.25799999999999995</v>
      </c>
      <c r="AW105" s="27">
        <v>7.999999999999996E-2</v>
      </c>
    </row>
    <row r="106" spans="37:49" x14ac:dyDescent="0.45">
      <c r="AK106">
        <v>10.4</v>
      </c>
      <c r="AL106" s="27">
        <v>0.43399999999999961</v>
      </c>
      <c r="AM106" s="27">
        <v>0.43399999999999961</v>
      </c>
      <c r="AN106" s="27">
        <v>0.15599999999999969</v>
      </c>
      <c r="AO106" s="27">
        <v>0.24800000000000005</v>
      </c>
      <c r="AP106">
        <v>0</v>
      </c>
      <c r="AQ106" s="27">
        <v>7.7999999999999847E-2</v>
      </c>
      <c r="AT106" s="27">
        <v>10.5</v>
      </c>
      <c r="AU106" s="27">
        <v>0.44500000000000006</v>
      </c>
      <c r="AV106" s="27">
        <v>0.25499999999999995</v>
      </c>
      <c r="AW106" s="27">
        <v>7.5000000000000067E-2</v>
      </c>
    </row>
    <row r="107" spans="37:49" x14ac:dyDescent="0.45">
      <c r="AK107">
        <v>10.5</v>
      </c>
      <c r="AL107" s="27">
        <v>0.4299999999999996</v>
      </c>
      <c r="AM107" s="27">
        <v>0.4299999999999996</v>
      </c>
      <c r="AN107" s="27">
        <v>0.12999999999999989</v>
      </c>
      <c r="AO107" s="27">
        <v>0.24500000000000005</v>
      </c>
      <c r="AP107">
        <v>0</v>
      </c>
      <c r="AQ107" s="27">
        <v>6.4999999999999947E-2</v>
      </c>
      <c r="AT107" s="27">
        <v>10.6</v>
      </c>
      <c r="AU107" s="27">
        <v>0.44000000000000006</v>
      </c>
      <c r="AV107" s="27">
        <v>0.25199999999999995</v>
      </c>
      <c r="AW107" s="27">
        <v>7.0000000000000062E-2</v>
      </c>
    </row>
    <row r="108" spans="37:49" x14ac:dyDescent="0.45">
      <c r="AK108">
        <v>10.6</v>
      </c>
      <c r="AL108" s="27">
        <v>0.4259999999999996</v>
      </c>
      <c r="AM108" s="27">
        <v>0.4259999999999996</v>
      </c>
      <c r="AN108" s="27">
        <v>0.10400000000000009</v>
      </c>
      <c r="AO108" s="27">
        <v>0.24200000000000005</v>
      </c>
      <c r="AP108">
        <v>0</v>
      </c>
      <c r="AQ108" s="27">
        <v>5.2000000000000046E-2</v>
      </c>
      <c r="AT108" s="27">
        <v>10.7</v>
      </c>
      <c r="AU108" s="27">
        <v>0.43500000000000005</v>
      </c>
      <c r="AV108" s="27">
        <v>0.249</v>
      </c>
      <c r="AW108" s="27">
        <v>6.5000000000000058E-2</v>
      </c>
    </row>
    <row r="109" spans="37:49" x14ac:dyDescent="0.45">
      <c r="AK109">
        <v>10.7</v>
      </c>
      <c r="AL109" s="27">
        <v>0.42199999999999965</v>
      </c>
      <c r="AM109" s="27">
        <v>0.42199999999999965</v>
      </c>
      <c r="AN109" s="27">
        <v>7.7999999999999847E-2</v>
      </c>
      <c r="AO109" s="27">
        <v>0.2390000000000001</v>
      </c>
      <c r="AP109">
        <v>0</v>
      </c>
      <c r="AQ109" s="27">
        <v>3.8999999999999924E-2</v>
      </c>
      <c r="AT109" s="27">
        <v>10.8</v>
      </c>
      <c r="AU109" s="27">
        <v>0.42999999999999994</v>
      </c>
      <c r="AV109" s="27">
        <v>0.24599999999999994</v>
      </c>
      <c r="AW109" s="27">
        <v>5.9999999999999942E-2</v>
      </c>
    </row>
    <row r="110" spans="37:49" x14ac:dyDescent="0.45">
      <c r="AK110">
        <v>10.8</v>
      </c>
      <c r="AL110" s="27">
        <v>0.41799999999999954</v>
      </c>
      <c r="AM110" s="27">
        <v>0.41799999999999954</v>
      </c>
      <c r="AN110" s="27">
        <v>5.1999999999999602E-2</v>
      </c>
      <c r="AO110" s="27">
        <v>0.23600000000000004</v>
      </c>
      <c r="AP110">
        <v>0</v>
      </c>
      <c r="AQ110" s="27">
        <v>2.5999999999999801E-2</v>
      </c>
      <c r="AT110" s="27">
        <v>10.9</v>
      </c>
      <c r="AU110" s="27">
        <v>0.42500000000000004</v>
      </c>
      <c r="AV110" s="27">
        <v>0.24299999999999994</v>
      </c>
      <c r="AW110" s="27">
        <v>5.5000000000000049E-2</v>
      </c>
    </row>
    <row r="111" spans="37:49" x14ac:dyDescent="0.45">
      <c r="AK111">
        <v>10.9</v>
      </c>
      <c r="AL111" s="27">
        <v>0.41399999999999959</v>
      </c>
      <c r="AM111" s="27">
        <v>0.41399999999999959</v>
      </c>
      <c r="AN111" s="27">
        <v>2.5999999999999801E-2</v>
      </c>
      <c r="AO111" s="27">
        <v>0.23300000000000004</v>
      </c>
      <c r="AP111">
        <v>0</v>
      </c>
      <c r="AQ111" s="27">
        <v>1.2999999999999901E-2</v>
      </c>
      <c r="AT111" s="27">
        <v>11</v>
      </c>
      <c r="AU111" s="27">
        <v>0.42000000000000004</v>
      </c>
      <c r="AV111" s="27">
        <v>0.24</v>
      </c>
      <c r="AW111" s="27">
        <v>5.0000000000000044E-2</v>
      </c>
    </row>
    <row r="112" spans="37:49" x14ac:dyDescent="0.45">
      <c r="AK112">
        <v>11</v>
      </c>
      <c r="AL112" s="27">
        <v>0.40999999999999959</v>
      </c>
      <c r="AM112" s="27">
        <v>0.40999999999999959</v>
      </c>
      <c r="AN112" s="27">
        <v>0</v>
      </c>
      <c r="AO112" s="27">
        <v>0.22999999999999982</v>
      </c>
      <c r="AP112">
        <v>0</v>
      </c>
      <c r="AQ112" s="27">
        <v>0</v>
      </c>
      <c r="AT112" s="27">
        <v>11.1</v>
      </c>
      <c r="AU112" s="27">
        <v>0.41500000000000004</v>
      </c>
      <c r="AV112" s="27">
        <v>0.23699999999999999</v>
      </c>
      <c r="AW112" s="27">
        <v>4.500000000000004E-2</v>
      </c>
    </row>
    <row r="113" spans="37:49" x14ac:dyDescent="0.45">
      <c r="AK113">
        <v>11.1</v>
      </c>
      <c r="AL113" s="27">
        <v>0.40599999999999958</v>
      </c>
      <c r="AM113" s="27">
        <v>0.40599999999999958</v>
      </c>
      <c r="AN113">
        <v>0</v>
      </c>
      <c r="AO113" s="27">
        <v>0.22799999999999981</v>
      </c>
      <c r="AP113">
        <v>0</v>
      </c>
      <c r="AQ113">
        <v>0</v>
      </c>
      <c r="AT113" s="27">
        <v>11.2</v>
      </c>
      <c r="AU113" s="27">
        <v>0.41000000000000003</v>
      </c>
      <c r="AV113" s="27">
        <v>0.23399999999999999</v>
      </c>
      <c r="AW113" s="27">
        <v>4.0000000000000036E-2</v>
      </c>
    </row>
    <row r="114" spans="37:49" x14ac:dyDescent="0.45">
      <c r="AK114">
        <v>11.2</v>
      </c>
      <c r="AL114" s="27">
        <v>0.40199999999999964</v>
      </c>
      <c r="AM114" s="27">
        <v>0.40199999999999964</v>
      </c>
      <c r="AN114">
        <v>0</v>
      </c>
      <c r="AO114" s="27">
        <v>0.22599999999999984</v>
      </c>
      <c r="AP114">
        <v>0</v>
      </c>
      <c r="AQ114">
        <v>0</v>
      </c>
      <c r="AT114" s="27">
        <v>11.3</v>
      </c>
      <c r="AU114" s="27">
        <v>0.40500000000000003</v>
      </c>
      <c r="AV114" s="27">
        <v>0.23099999999999993</v>
      </c>
      <c r="AW114" s="27">
        <v>3.5000000000000031E-2</v>
      </c>
    </row>
    <row r="115" spans="37:49" x14ac:dyDescent="0.45">
      <c r="AK115">
        <v>11.3</v>
      </c>
      <c r="AL115" s="27">
        <v>0.39799999999999952</v>
      </c>
      <c r="AM115" s="27">
        <v>0.39799999999999952</v>
      </c>
      <c r="AN115">
        <v>0</v>
      </c>
      <c r="AO115" s="27">
        <v>0.22399999999999978</v>
      </c>
      <c r="AP115">
        <v>0</v>
      </c>
      <c r="AQ115">
        <v>0</v>
      </c>
      <c r="AT115" s="27">
        <v>11.4</v>
      </c>
      <c r="AU115" s="27">
        <v>0.4</v>
      </c>
      <c r="AV115" s="27">
        <v>0.22799999999999998</v>
      </c>
      <c r="AW115" s="27">
        <v>3.0000000000000027E-2</v>
      </c>
    </row>
    <row r="116" spans="37:49" x14ac:dyDescent="0.45">
      <c r="AK116">
        <v>11.4</v>
      </c>
      <c r="AL116" s="27">
        <v>0.39399999999999957</v>
      </c>
      <c r="AM116" s="27">
        <v>0.39399999999999957</v>
      </c>
      <c r="AN116">
        <v>0</v>
      </c>
      <c r="AO116" s="27">
        <v>0.22199999999999981</v>
      </c>
      <c r="AP116">
        <v>0</v>
      </c>
      <c r="AQ116">
        <v>0</v>
      </c>
      <c r="AT116" s="27">
        <v>11.5</v>
      </c>
      <c r="AU116" s="27">
        <v>0.39500000000000002</v>
      </c>
      <c r="AV116" s="27">
        <v>0.22499999999999998</v>
      </c>
      <c r="AW116" s="27">
        <v>2.5000000000000022E-2</v>
      </c>
    </row>
    <row r="117" spans="37:49" x14ac:dyDescent="0.45">
      <c r="AK117">
        <v>11.5</v>
      </c>
      <c r="AL117" s="27">
        <v>0.38999999999999957</v>
      </c>
      <c r="AM117" s="27">
        <v>0.38999999999999957</v>
      </c>
      <c r="AN117">
        <v>0</v>
      </c>
      <c r="AO117" s="27">
        <v>0.21999999999999981</v>
      </c>
      <c r="AP117">
        <v>0</v>
      </c>
      <c r="AQ117">
        <v>0</v>
      </c>
      <c r="AT117" s="27">
        <v>11.6</v>
      </c>
      <c r="AU117" s="27">
        <v>0.39</v>
      </c>
      <c r="AV117" s="27">
        <v>0.22199999999999998</v>
      </c>
      <c r="AW117" s="27">
        <v>2.0000000000000018E-2</v>
      </c>
    </row>
    <row r="118" spans="37:49" x14ac:dyDescent="0.45">
      <c r="AK118">
        <v>11.6</v>
      </c>
      <c r="AL118" s="27">
        <v>0.38599999999999957</v>
      </c>
      <c r="AM118" s="27">
        <v>0.38599999999999957</v>
      </c>
      <c r="AN118">
        <v>0</v>
      </c>
      <c r="AO118" s="27">
        <v>0.21799999999999981</v>
      </c>
      <c r="AP118">
        <v>0</v>
      </c>
      <c r="AQ118">
        <v>0</v>
      </c>
      <c r="AT118" s="27">
        <v>11.7</v>
      </c>
      <c r="AU118" s="27">
        <v>0.38500000000000001</v>
      </c>
      <c r="AV118" s="27">
        <v>0.21899999999999997</v>
      </c>
      <c r="AW118" s="27">
        <v>1.5000000000000013E-2</v>
      </c>
    </row>
    <row r="119" spans="37:49" x14ac:dyDescent="0.45">
      <c r="AK119">
        <v>11.7</v>
      </c>
      <c r="AL119" s="27">
        <v>0.38199999999999962</v>
      </c>
      <c r="AM119" s="27">
        <v>0.38199999999999962</v>
      </c>
      <c r="AN119">
        <v>0</v>
      </c>
      <c r="AO119" s="27">
        <v>0.21599999999999983</v>
      </c>
      <c r="AP119">
        <v>0</v>
      </c>
      <c r="AQ119">
        <v>0</v>
      </c>
      <c r="AT119" s="27">
        <v>11.8</v>
      </c>
      <c r="AU119" s="27">
        <v>0.38</v>
      </c>
      <c r="AV119" s="27">
        <v>0.21599999999999997</v>
      </c>
      <c r="AW119" s="27">
        <v>1.0000000000000009E-2</v>
      </c>
    </row>
    <row r="120" spans="37:49" x14ac:dyDescent="0.45">
      <c r="AK120">
        <v>11.8</v>
      </c>
      <c r="AL120" s="27">
        <v>0.3779999999999995</v>
      </c>
      <c r="AM120" s="27">
        <v>0.3779999999999995</v>
      </c>
      <c r="AN120">
        <v>0</v>
      </c>
      <c r="AO120" s="27">
        <v>0.21399999999999977</v>
      </c>
      <c r="AP120">
        <v>0</v>
      </c>
      <c r="AQ120">
        <v>0</v>
      </c>
      <c r="AT120" s="27">
        <v>11.9</v>
      </c>
      <c r="AU120" s="27">
        <v>0.375</v>
      </c>
      <c r="AV120" s="27">
        <v>0.21299999999999997</v>
      </c>
      <c r="AW120" s="27">
        <v>5.0000000000000044E-3</v>
      </c>
    </row>
    <row r="121" spans="37:49" x14ac:dyDescent="0.45">
      <c r="AK121">
        <v>11.9</v>
      </c>
      <c r="AL121" s="27">
        <v>0.37399999999999956</v>
      </c>
      <c r="AM121" s="27">
        <v>0.37399999999999956</v>
      </c>
      <c r="AN121">
        <v>0</v>
      </c>
      <c r="AO121" s="27">
        <v>0.2119999999999998</v>
      </c>
      <c r="AP121">
        <v>0</v>
      </c>
      <c r="AQ121">
        <v>0</v>
      </c>
      <c r="AT121" s="27">
        <v>12</v>
      </c>
      <c r="AU121" s="27">
        <v>0.37</v>
      </c>
      <c r="AV121" s="27">
        <v>0.21000000000000019</v>
      </c>
      <c r="AW121" s="27">
        <v>0</v>
      </c>
    </row>
    <row r="122" spans="37:49" x14ac:dyDescent="0.45">
      <c r="AK122">
        <v>12</v>
      </c>
      <c r="AL122" s="27">
        <v>0.37000000000000011</v>
      </c>
      <c r="AM122" s="27">
        <v>0.37000000000000033</v>
      </c>
      <c r="AN122">
        <v>0</v>
      </c>
      <c r="AO122" s="27">
        <v>0.20999999999999996</v>
      </c>
      <c r="AP122">
        <v>0</v>
      </c>
      <c r="AQ122">
        <v>0</v>
      </c>
      <c r="AT122" s="27">
        <v>12.1</v>
      </c>
      <c r="AU122" s="27">
        <v>0.36499999999999999</v>
      </c>
      <c r="AV122" s="27">
        <v>0.20300000000000018</v>
      </c>
      <c r="AW122" s="27">
        <v>0</v>
      </c>
    </row>
    <row r="123" spans="37:49" x14ac:dyDescent="0.45">
      <c r="AK123">
        <v>12.1</v>
      </c>
      <c r="AL123" s="27">
        <v>0.33300000000000018</v>
      </c>
      <c r="AM123" s="27">
        <v>0.36700000000000033</v>
      </c>
      <c r="AN123">
        <v>0</v>
      </c>
      <c r="AO123" s="27">
        <v>0.18900000000000006</v>
      </c>
      <c r="AP123">
        <v>0</v>
      </c>
      <c r="AQ123">
        <v>0</v>
      </c>
      <c r="AT123" s="27">
        <v>12.2</v>
      </c>
      <c r="AU123" s="27">
        <v>0.3600000000000001</v>
      </c>
      <c r="AV123" s="27">
        <v>0.19600000000000017</v>
      </c>
      <c r="AW123" s="27">
        <v>0</v>
      </c>
    </row>
    <row r="124" spans="37:49" x14ac:dyDescent="0.45">
      <c r="AK124">
        <v>12.2</v>
      </c>
      <c r="AL124" s="27">
        <v>0.29600000000000026</v>
      </c>
      <c r="AM124" s="27">
        <v>0.36400000000000038</v>
      </c>
      <c r="AN124">
        <v>0</v>
      </c>
      <c r="AO124" s="27">
        <v>0.16800000000000015</v>
      </c>
      <c r="AP124">
        <v>0</v>
      </c>
      <c r="AQ124">
        <v>0</v>
      </c>
      <c r="AT124" s="27">
        <v>12.3</v>
      </c>
      <c r="AU124" s="27">
        <v>0.35499999999999998</v>
      </c>
      <c r="AV124" s="27">
        <v>0.18900000000000006</v>
      </c>
      <c r="AW124" s="27">
        <v>0</v>
      </c>
    </row>
    <row r="125" spans="37:49" x14ac:dyDescent="0.45">
      <c r="AK125">
        <v>12.3</v>
      </c>
      <c r="AL125" s="27">
        <v>0.25899999999999945</v>
      </c>
      <c r="AM125" s="27">
        <v>0.36100000000000032</v>
      </c>
      <c r="AN125">
        <v>0</v>
      </c>
      <c r="AO125" s="27">
        <v>0.1469999999999998</v>
      </c>
      <c r="AP125">
        <v>0</v>
      </c>
      <c r="AQ125">
        <v>0</v>
      </c>
      <c r="AT125" s="27">
        <v>12.4</v>
      </c>
      <c r="AU125" s="27">
        <v>0.35</v>
      </c>
      <c r="AV125" s="27">
        <v>0.18200000000000016</v>
      </c>
      <c r="AW125" s="27">
        <v>0</v>
      </c>
    </row>
    <row r="126" spans="37:49" x14ac:dyDescent="0.45">
      <c r="AK126">
        <v>12.4</v>
      </c>
      <c r="AL126" s="27">
        <v>0.22199999999999953</v>
      </c>
      <c r="AM126" s="27">
        <v>0.35800000000000032</v>
      </c>
      <c r="AN126">
        <v>0</v>
      </c>
      <c r="AO126" s="27">
        <v>0.12599999999999989</v>
      </c>
      <c r="AP126">
        <v>0</v>
      </c>
      <c r="AQ126">
        <v>0</v>
      </c>
      <c r="AT126" s="27">
        <v>12.5</v>
      </c>
      <c r="AU126" s="27">
        <v>0.34499999999999997</v>
      </c>
      <c r="AV126" s="27">
        <v>0.17500000000000016</v>
      </c>
      <c r="AW126" s="27">
        <v>0</v>
      </c>
    </row>
    <row r="127" spans="37:49" x14ac:dyDescent="0.45">
      <c r="AK127">
        <v>12.5</v>
      </c>
      <c r="AL127" s="27">
        <v>0.18499999999999961</v>
      </c>
      <c r="AM127" s="27">
        <v>0.35500000000000032</v>
      </c>
      <c r="AN127">
        <v>0</v>
      </c>
      <c r="AO127" s="27">
        <v>0.10499999999999998</v>
      </c>
      <c r="AP127">
        <v>0</v>
      </c>
      <c r="AQ127">
        <v>0</v>
      </c>
      <c r="AT127" s="27">
        <v>12.6</v>
      </c>
      <c r="AU127" s="27">
        <v>0.34000000000000008</v>
      </c>
      <c r="AV127" s="27">
        <v>0.16800000000000015</v>
      </c>
      <c r="AW127" s="27">
        <v>0</v>
      </c>
    </row>
    <row r="128" spans="37:49" x14ac:dyDescent="0.45">
      <c r="AK128">
        <v>12.6</v>
      </c>
      <c r="AL128" s="27">
        <v>0.14799999999999969</v>
      </c>
      <c r="AM128" s="27">
        <v>0.35200000000000037</v>
      </c>
      <c r="AN128">
        <v>0</v>
      </c>
      <c r="AO128" s="27">
        <v>8.4000000000000075E-2</v>
      </c>
      <c r="AP128">
        <v>0</v>
      </c>
      <c r="AQ128">
        <v>0</v>
      </c>
      <c r="AT128" s="27">
        <v>12.7</v>
      </c>
      <c r="AU128" s="27">
        <v>0.33500000000000008</v>
      </c>
      <c r="AV128" s="27">
        <v>0.16100000000000014</v>
      </c>
      <c r="AW128" s="27">
        <v>0</v>
      </c>
    </row>
    <row r="129" spans="37:49" x14ac:dyDescent="0.45">
      <c r="AK129">
        <v>12.7</v>
      </c>
      <c r="AL129" s="27">
        <v>0.11099999999999977</v>
      </c>
      <c r="AM129" s="27">
        <v>0.34900000000000037</v>
      </c>
      <c r="AN129">
        <v>0</v>
      </c>
      <c r="AO129" s="27">
        <v>6.3000000000000167E-2</v>
      </c>
      <c r="AP129">
        <v>0</v>
      </c>
      <c r="AQ129">
        <v>0</v>
      </c>
      <c r="AT129" s="27">
        <v>12.8</v>
      </c>
      <c r="AU129" s="27">
        <v>0.32999999999999996</v>
      </c>
      <c r="AV129" s="27">
        <v>0.15400000000000014</v>
      </c>
      <c r="AW129" s="27">
        <v>0</v>
      </c>
    </row>
    <row r="130" spans="37:49" x14ac:dyDescent="0.45">
      <c r="AK130">
        <v>12.8</v>
      </c>
      <c r="AL130" s="27">
        <v>7.3999999999999844E-2</v>
      </c>
      <c r="AM130" s="27">
        <v>0.34600000000000031</v>
      </c>
      <c r="AN130">
        <v>0</v>
      </c>
      <c r="AO130" s="27">
        <v>4.1999999999999815E-2</v>
      </c>
      <c r="AP130">
        <v>0</v>
      </c>
      <c r="AQ130">
        <v>0</v>
      </c>
      <c r="AT130" s="27">
        <v>12.9</v>
      </c>
      <c r="AU130" s="27">
        <v>0.32499999999999996</v>
      </c>
      <c r="AV130" s="27">
        <v>0.14700000000000013</v>
      </c>
      <c r="AW130" s="27">
        <v>0</v>
      </c>
    </row>
    <row r="131" spans="37:49" x14ac:dyDescent="0.45">
      <c r="AK131">
        <v>12.9</v>
      </c>
      <c r="AL131" s="27">
        <v>3.6999999999999922E-2</v>
      </c>
      <c r="AM131" s="27">
        <v>0.34300000000000036</v>
      </c>
      <c r="AN131">
        <v>0</v>
      </c>
      <c r="AO131" s="27">
        <v>2.0999999999999908E-2</v>
      </c>
      <c r="AP131">
        <v>0</v>
      </c>
      <c r="AQ131">
        <v>0</v>
      </c>
      <c r="AT131" s="27">
        <v>13</v>
      </c>
      <c r="AU131" s="27">
        <v>0.32000000000000006</v>
      </c>
      <c r="AV131" s="27">
        <v>0.14000000000000012</v>
      </c>
      <c r="AW131" s="27">
        <v>0</v>
      </c>
    </row>
    <row r="132" spans="37:49" x14ac:dyDescent="0.45">
      <c r="AK132">
        <v>13</v>
      </c>
      <c r="AL132" s="27">
        <v>0</v>
      </c>
      <c r="AM132" s="27">
        <v>0.34000000000000036</v>
      </c>
      <c r="AN132">
        <v>0</v>
      </c>
      <c r="AO132" s="27">
        <v>0</v>
      </c>
      <c r="AP132">
        <v>0</v>
      </c>
      <c r="AQ132">
        <v>0</v>
      </c>
      <c r="AT132" s="27">
        <v>13.1</v>
      </c>
      <c r="AU132" s="27">
        <v>0.31500000000000006</v>
      </c>
      <c r="AV132" s="27">
        <v>0.13300000000000012</v>
      </c>
      <c r="AW132" s="27">
        <v>0</v>
      </c>
    </row>
    <row r="133" spans="37:49" x14ac:dyDescent="0.45">
      <c r="AK133">
        <v>13.1</v>
      </c>
      <c r="AL133" s="27">
        <v>0</v>
      </c>
      <c r="AM133" s="27">
        <v>0.33700000000000035</v>
      </c>
      <c r="AN133">
        <v>0</v>
      </c>
      <c r="AO133">
        <v>0</v>
      </c>
      <c r="AP133">
        <v>0</v>
      </c>
      <c r="AQ133">
        <v>0</v>
      </c>
      <c r="AT133" s="27">
        <v>13.2</v>
      </c>
      <c r="AU133" s="27">
        <v>0.31000000000000005</v>
      </c>
      <c r="AV133" s="27">
        <v>0.12600000000000022</v>
      </c>
      <c r="AW133" s="27">
        <v>0</v>
      </c>
    </row>
    <row r="134" spans="37:49" x14ac:dyDescent="0.45">
      <c r="AK134">
        <v>13.2</v>
      </c>
      <c r="AL134" s="27">
        <v>0</v>
      </c>
      <c r="AM134" s="27">
        <v>0.33400000000000041</v>
      </c>
      <c r="AN134">
        <v>0</v>
      </c>
      <c r="AO134">
        <v>0</v>
      </c>
      <c r="AP134">
        <v>0</v>
      </c>
      <c r="AQ134">
        <v>0</v>
      </c>
      <c r="AT134" s="27">
        <v>13.3</v>
      </c>
      <c r="AU134" s="27">
        <v>0.30499999999999994</v>
      </c>
      <c r="AV134" s="27">
        <v>0.11900000000000011</v>
      </c>
      <c r="AW134" s="27">
        <v>0</v>
      </c>
    </row>
    <row r="135" spans="37:49" x14ac:dyDescent="0.45">
      <c r="AK135">
        <v>13.3</v>
      </c>
      <c r="AL135" s="27">
        <v>0</v>
      </c>
      <c r="AM135" s="27">
        <v>0.33100000000000035</v>
      </c>
      <c r="AN135">
        <v>0</v>
      </c>
      <c r="AO135">
        <v>0</v>
      </c>
      <c r="AP135">
        <v>0</v>
      </c>
      <c r="AQ135">
        <v>0</v>
      </c>
      <c r="AT135" s="27">
        <v>13.4</v>
      </c>
      <c r="AU135" s="27">
        <v>0.30000000000000004</v>
      </c>
      <c r="AV135" s="27">
        <v>0.1120000000000001</v>
      </c>
      <c r="AW135" s="27">
        <v>0</v>
      </c>
    </row>
    <row r="136" spans="37:49" x14ac:dyDescent="0.45">
      <c r="AK136">
        <v>13.4</v>
      </c>
      <c r="AL136" s="27">
        <v>0</v>
      </c>
      <c r="AM136" s="27">
        <v>0.32800000000000035</v>
      </c>
      <c r="AN136">
        <v>0</v>
      </c>
      <c r="AO136">
        <v>0</v>
      </c>
      <c r="AP136">
        <v>0</v>
      </c>
      <c r="AQ136">
        <v>0</v>
      </c>
      <c r="AT136" s="27">
        <v>13.5</v>
      </c>
      <c r="AU136" s="27">
        <v>0.29500000000000004</v>
      </c>
      <c r="AV136" s="27">
        <v>0.10500000000000009</v>
      </c>
      <c r="AW136" s="27">
        <v>0</v>
      </c>
    </row>
    <row r="137" spans="37:49" x14ac:dyDescent="0.45">
      <c r="AK137">
        <v>13.5</v>
      </c>
      <c r="AL137" s="27">
        <v>0</v>
      </c>
      <c r="AM137" s="27">
        <v>0.3250000000000004</v>
      </c>
      <c r="AN137">
        <v>0</v>
      </c>
      <c r="AO137">
        <v>0</v>
      </c>
      <c r="AP137">
        <v>0</v>
      </c>
      <c r="AQ137">
        <v>0</v>
      </c>
      <c r="AT137" s="27">
        <v>13.6</v>
      </c>
      <c r="AU137" s="27">
        <v>0.29000000000000004</v>
      </c>
      <c r="AV137" s="27">
        <v>9.8000000000000198E-2</v>
      </c>
      <c r="AW137" s="27">
        <v>0</v>
      </c>
    </row>
    <row r="138" spans="37:49" x14ac:dyDescent="0.45">
      <c r="AK138">
        <v>13.6</v>
      </c>
      <c r="AL138" s="27">
        <v>0</v>
      </c>
      <c r="AM138" s="27">
        <v>0.3220000000000004</v>
      </c>
      <c r="AN138">
        <v>0</v>
      </c>
      <c r="AO138">
        <v>0</v>
      </c>
      <c r="AP138">
        <v>0</v>
      </c>
      <c r="AQ138">
        <v>0</v>
      </c>
      <c r="AT138" s="27">
        <v>13.7</v>
      </c>
      <c r="AU138" s="27">
        <v>0.28500000000000003</v>
      </c>
      <c r="AV138" s="27">
        <v>9.1000000000000192E-2</v>
      </c>
      <c r="AW138" s="27">
        <v>0</v>
      </c>
    </row>
    <row r="139" spans="37:49" x14ac:dyDescent="0.45">
      <c r="AK139">
        <v>13.7</v>
      </c>
      <c r="AL139" s="27">
        <v>0</v>
      </c>
      <c r="AM139" s="27">
        <v>0.31900000000000039</v>
      </c>
      <c r="AN139">
        <v>0</v>
      </c>
      <c r="AO139">
        <v>0</v>
      </c>
      <c r="AP139">
        <v>0</v>
      </c>
      <c r="AQ139">
        <v>0</v>
      </c>
      <c r="AT139" s="27">
        <v>13.8</v>
      </c>
      <c r="AU139" s="27">
        <v>0.28000000000000003</v>
      </c>
      <c r="AV139" s="27">
        <v>8.4000000000000075E-2</v>
      </c>
      <c r="AW139" s="27">
        <v>0</v>
      </c>
    </row>
    <row r="140" spans="37:49" x14ac:dyDescent="0.45">
      <c r="AK140">
        <v>13.8</v>
      </c>
      <c r="AL140" s="27">
        <v>0</v>
      </c>
      <c r="AM140" s="27">
        <v>0.31600000000000034</v>
      </c>
      <c r="AN140">
        <v>0</v>
      </c>
      <c r="AO140">
        <v>0</v>
      </c>
      <c r="AP140">
        <v>0</v>
      </c>
      <c r="AQ140">
        <v>0</v>
      </c>
      <c r="AT140" s="27">
        <v>13.9</v>
      </c>
      <c r="AU140" s="27">
        <v>0.27500000000000002</v>
      </c>
      <c r="AV140" s="27">
        <v>7.7000000000000068E-2</v>
      </c>
      <c r="AW140" s="27">
        <v>0</v>
      </c>
    </row>
    <row r="141" spans="37:49" x14ac:dyDescent="0.45">
      <c r="AK141">
        <v>13.9</v>
      </c>
      <c r="AL141" s="27">
        <v>0</v>
      </c>
      <c r="AM141" s="27">
        <v>0.31300000000000039</v>
      </c>
      <c r="AN141">
        <v>0</v>
      </c>
      <c r="AO141">
        <v>0</v>
      </c>
      <c r="AP141">
        <v>0</v>
      </c>
      <c r="AQ141">
        <v>0</v>
      </c>
      <c r="AT141" s="27">
        <v>14</v>
      </c>
      <c r="AU141" s="27">
        <v>0.27</v>
      </c>
      <c r="AV141" s="27">
        <v>7.0000000000000173E-2</v>
      </c>
      <c r="AW141" s="27">
        <v>0</v>
      </c>
    </row>
    <row r="142" spans="37:49" x14ac:dyDescent="0.45">
      <c r="AK142">
        <v>14</v>
      </c>
      <c r="AL142" s="27">
        <v>0</v>
      </c>
      <c r="AM142" s="27">
        <v>0.31000000000000039</v>
      </c>
      <c r="AN142">
        <v>0</v>
      </c>
      <c r="AO142">
        <v>0</v>
      </c>
      <c r="AP142">
        <v>0</v>
      </c>
      <c r="AQ142">
        <v>0</v>
      </c>
      <c r="AT142" s="27">
        <v>14.1</v>
      </c>
      <c r="AU142" s="27">
        <v>0.26500000000000001</v>
      </c>
      <c r="AV142" s="27">
        <v>6.3000000000000167E-2</v>
      </c>
      <c r="AW142" s="27">
        <v>0</v>
      </c>
    </row>
    <row r="143" spans="37:49" x14ac:dyDescent="0.45">
      <c r="AK143">
        <v>14.1</v>
      </c>
      <c r="AL143" s="27">
        <v>0</v>
      </c>
      <c r="AM143" s="27">
        <v>0.30700000000000038</v>
      </c>
      <c r="AN143">
        <v>0</v>
      </c>
      <c r="AO143">
        <v>0</v>
      </c>
      <c r="AP143">
        <v>0</v>
      </c>
      <c r="AQ143">
        <v>0</v>
      </c>
      <c r="AT143" s="27">
        <v>14.2</v>
      </c>
      <c r="AU143" s="27">
        <v>0.26000000000000012</v>
      </c>
      <c r="AV143" s="27">
        <v>5.6000000000000161E-2</v>
      </c>
      <c r="AW143" s="27">
        <v>0</v>
      </c>
    </row>
    <row r="144" spans="37:49" x14ac:dyDescent="0.45">
      <c r="AK144">
        <v>14.2</v>
      </c>
      <c r="AL144" s="27">
        <v>0</v>
      </c>
      <c r="AM144" s="27">
        <v>0.30400000000000044</v>
      </c>
      <c r="AN144">
        <v>0</v>
      </c>
      <c r="AO144">
        <v>0</v>
      </c>
      <c r="AP144">
        <v>0</v>
      </c>
      <c r="AQ144">
        <v>0</v>
      </c>
      <c r="AT144" s="27">
        <v>14.3</v>
      </c>
      <c r="AU144" s="27">
        <v>0.255</v>
      </c>
      <c r="AV144" s="27">
        <v>4.9000000000000155E-2</v>
      </c>
      <c r="AW144" s="27">
        <v>0</v>
      </c>
    </row>
    <row r="145" spans="37:49" x14ac:dyDescent="0.45">
      <c r="AK145">
        <v>14.3</v>
      </c>
      <c r="AL145" s="27">
        <v>0</v>
      </c>
      <c r="AM145" s="27">
        <v>0.30100000000000038</v>
      </c>
      <c r="AN145">
        <v>0</v>
      </c>
      <c r="AO145">
        <v>0</v>
      </c>
      <c r="AP145">
        <v>0</v>
      </c>
      <c r="AQ145">
        <v>0</v>
      </c>
      <c r="AT145" s="27">
        <v>14.4</v>
      </c>
      <c r="AU145" s="27">
        <v>0.25</v>
      </c>
      <c r="AV145" s="27">
        <v>4.2000000000000037E-2</v>
      </c>
      <c r="AW145" s="27">
        <v>0</v>
      </c>
    </row>
    <row r="146" spans="37:49" x14ac:dyDescent="0.45">
      <c r="AK146">
        <v>14.4</v>
      </c>
      <c r="AL146" s="27">
        <v>0</v>
      </c>
      <c r="AM146" s="27">
        <v>0.29800000000000038</v>
      </c>
      <c r="AN146">
        <v>0</v>
      </c>
      <c r="AO146">
        <v>0</v>
      </c>
      <c r="AP146">
        <v>0</v>
      </c>
      <c r="AQ146">
        <v>0</v>
      </c>
      <c r="AT146" s="27">
        <v>14.5</v>
      </c>
      <c r="AU146" s="27">
        <v>0.245</v>
      </c>
      <c r="AV146" s="27">
        <v>3.5000000000000142E-2</v>
      </c>
      <c r="AW146" s="27">
        <v>0</v>
      </c>
    </row>
    <row r="147" spans="37:49" x14ac:dyDescent="0.45">
      <c r="AK147">
        <v>14.5</v>
      </c>
      <c r="AL147" s="27">
        <v>0</v>
      </c>
      <c r="AM147" s="27">
        <v>0.29500000000000037</v>
      </c>
      <c r="AN147">
        <v>0</v>
      </c>
      <c r="AO147">
        <v>0</v>
      </c>
      <c r="AP147">
        <v>0</v>
      </c>
      <c r="AQ147">
        <v>0</v>
      </c>
      <c r="AT147" s="27">
        <v>14.6</v>
      </c>
      <c r="AU147" s="27">
        <v>0.2400000000000001</v>
      </c>
      <c r="AV147" s="27">
        <v>2.8000000000000247E-2</v>
      </c>
      <c r="AW147" s="27">
        <v>0</v>
      </c>
    </row>
    <row r="148" spans="37:49" x14ac:dyDescent="0.45">
      <c r="AK148">
        <v>14.6</v>
      </c>
      <c r="AL148" s="27">
        <v>0</v>
      </c>
      <c r="AM148" s="27">
        <v>0.29200000000000043</v>
      </c>
      <c r="AN148">
        <v>0</v>
      </c>
      <c r="AO148">
        <v>0</v>
      </c>
      <c r="AP148">
        <v>0</v>
      </c>
      <c r="AQ148">
        <v>0</v>
      </c>
      <c r="AT148" s="27">
        <v>14.7</v>
      </c>
      <c r="AU148" s="27">
        <v>0.2350000000000001</v>
      </c>
      <c r="AV148" s="27">
        <v>2.100000000000013E-2</v>
      </c>
      <c r="AW148" s="27">
        <v>0</v>
      </c>
    </row>
    <row r="149" spans="37:49" x14ac:dyDescent="0.45">
      <c r="AK149">
        <v>14.7</v>
      </c>
      <c r="AL149" s="27">
        <v>0</v>
      </c>
      <c r="AM149" s="27">
        <v>0.28900000000000042</v>
      </c>
      <c r="AN149">
        <v>0</v>
      </c>
      <c r="AO149">
        <v>0</v>
      </c>
      <c r="AP149">
        <v>0</v>
      </c>
      <c r="AQ149">
        <v>0</v>
      </c>
      <c r="AT149" s="27">
        <v>14.8</v>
      </c>
      <c r="AU149" s="27">
        <v>0.22999999999999998</v>
      </c>
      <c r="AV149" s="27">
        <v>1.4000000000000012E-2</v>
      </c>
      <c r="AW149" s="27">
        <v>0</v>
      </c>
    </row>
    <row r="150" spans="37:49" x14ac:dyDescent="0.45">
      <c r="AK150">
        <v>14.8</v>
      </c>
      <c r="AL150" s="27">
        <v>0</v>
      </c>
      <c r="AM150" s="27">
        <v>0.28600000000000037</v>
      </c>
      <c r="AN150">
        <v>0</v>
      </c>
      <c r="AO150">
        <v>0</v>
      </c>
      <c r="AP150">
        <v>0</v>
      </c>
      <c r="AQ150">
        <v>0</v>
      </c>
      <c r="AT150" s="27">
        <v>14.9</v>
      </c>
      <c r="AU150" s="27">
        <v>0.22499999999999998</v>
      </c>
      <c r="AV150" s="27">
        <v>7.0000000000001172E-3</v>
      </c>
      <c r="AW150" s="27">
        <v>0</v>
      </c>
    </row>
    <row r="151" spans="37:49" x14ac:dyDescent="0.45">
      <c r="AK151">
        <v>14.9</v>
      </c>
      <c r="AL151" s="27">
        <v>0</v>
      </c>
      <c r="AM151" s="27">
        <v>0.28300000000000042</v>
      </c>
      <c r="AN151">
        <v>0</v>
      </c>
      <c r="AO151">
        <v>0</v>
      </c>
      <c r="AP151">
        <v>0</v>
      </c>
      <c r="AQ151">
        <v>0</v>
      </c>
      <c r="AT151" s="27">
        <v>15</v>
      </c>
      <c r="AU151" s="27">
        <v>0.22000000000000008</v>
      </c>
      <c r="AV151" s="27">
        <v>0</v>
      </c>
      <c r="AW151" s="27">
        <v>0</v>
      </c>
    </row>
    <row r="152" spans="37:49" x14ac:dyDescent="0.45">
      <c r="AK152">
        <v>15</v>
      </c>
      <c r="AL152" s="27">
        <v>0</v>
      </c>
      <c r="AM152" s="27">
        <v>0.28000000000000042</v>
      </c>
      <c r="AN152">
        <v>0</v>
      </c>
      <c r="AO152">
        <v>0</v>
      </c>
      <c r="AP152">
        <v>0</v>
      </c>
      <c r="AQ152">
        <v>0</v>
      </c>
    </row>
  </sheetData>
  <sheetProtection algorithmName="SHA-512" hashValue="Kxv4l0vh0PpHZZ7k9B4HWtiT1U7ys0Nyw/1EwCAA5WKEjSpGrTMDA/fxY7/jFEwKinFYIoZ6aN2hT3NYZYbaSA==" saltValue="gkKcR8DFp/sPvvT7fJ+krw==" spinCount="100000" sheet="1" objects="1" scenarios="1" selectLockedCells="1" selectUnlockedCells="1"/>
  <mergeCells count="23">
    <mergeCell ref="H2:K2"/>
    <mergeCell ref="AT1:AW1"/>
    <mergeCell ref="AC1:AD1"/>
    <mergeCell ref="AG1:AH1"/>
    <mergeCell ref="AK1:AQ1"/>
    <mergeCell ref="AK2:AM2"/>
    <mergeCell ref="AN2:AO2"/>
    <mergeCell ref="AP2:AQ2"/>
    <mergeCell ref="C23:E23"/>
    <mergeCell ref="AH22:AI22"/>
    <mergeCell ref="C14:C17"/>
    <mergeCell ref="C7:C10"/>
    <mergeCell ref="C12:F12"/>
    <mergeCell ref="H9:I9"/>
    <mergeCell ref="H15:K15"/>
    <mergeCell ref="H14:K14"/>
    <mergeCell ref="C39:C42"/>
    <mergeCell ref="C43:C46"/>
    <mergeCell ref="E26:F26"/>
    <mergeCell ref="E27:F27"/>
    <mergeCell ref="E28:F28"/>
    <mergeCell ref="E29:F29"/>
    <mergeCell ref="C35:C38"/>
  </mergeCells>
  <conditionalFormatting sqref="J10:J13">
    <cfRule type="containsText" dxfId="4" priority="1" stopIfTrue="1" operator="containsText" text="Rischio Elevato">
      <formula>NOT(ISERROR(SEARCH("Rischio Elevato",J10)))</formula>
    </cfRule>
    <cfRule type="containsText" dxfId="3" priority="2" stopIfTrue="1" operator="containsText" text="Rischio Significativo">
      <formula>NOT(ISERROR(SEARCH("Rischio Significativo",J10)))</formula>
    </cfRule>
    <cfRule type="containsText" dxfId="2" priority="3" stopIfTrue="1" operator="containsText" text="Rischio Basso">
      <formula>NOT(ISERROR(SEARCH("Rischio Basso",J10)))</formula>
    </cfRule>
    <cfRule type="containsText" dxfId="1" priority="4" stopIfTrue="1" operator="containsText" text="Rischio Molto Basso">
      <formula>NOT(ISERROR(SEARCH("Rischio Molto Basso",J10)))</formula>
    </cfRule>
    <cfRule type="containsText" dxfId="0" priority="5" stopIfTrue="1" operator="containsText" text="Rischio Accettabile">
      <formula>NOT(ISERROR(SEARCH("Rischio Accettabile",J10)))</formula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8" operator="containsText" id="{16785757-3BBC-497C-A970-B0DA8882ABB7}">
            <xm:f>NOT(ISERROR(SEARCH(Liste!$D$13,C23)))</xm:f>
            <xm:f>Liste!$D$13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19" operator="containsText" id="{B5147F3E-82B1-4F87-94C0-89C4187CCF31}">
            <xm:f>NOT(ISERROR(SEARCH(Liste!$D$8,C23)))</xm:f>
            <xm:f>Liste!$D$8</xm:f>
            <x14:dxf>
              <font>
                <b/>
                <i val="0"/>
              </font>
              <fill>
                <patternFill>
                  <bgColor rgb="FF00B050"/>
                </patternFill>
              </fill>
            </x14:dxf>
          </x14:cfRule>
          <xm:sqref>C23</xm:sqref>
        </x14:conditionalFormatting>
        <x14:conditionalFormatting xmlns:xm="http://schemas.microsoft.com/office/excel/2006/main">
          <x14:cfRule type="containsText" priority="8" operator="containsText" id="{C23F7F65-A411-4225-8503-112C1097DF4C}">
            <xm:f>NOT(ISERROR(SEARCH(Liste!$D$10,D26)))</xm:f>
            <xm:f>Liste!$D$10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9" operator="containsText" id="{67486761-6D5A-441F-9E49-CC0BEF18F7D3}">
            <xm:f>NOT(ISERROR(SEARCH(Liste!$D$9,D26)))</xm:f>
            <xm:f>Liste!$D$9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10" operator="containsText" id="{4513D323-4D9F-48EC-AE99-949B04BE85AD}">
            <xm:f>NOT(ISERROR(SEARCH(Liste!$D$8,D26)))</xm:f>
            <xm:f>Liste!$D$8</xm:f>
            <x14:dxf>
              <font>
                <b/>
                <i val="0"/>
              </font>
              <fill>
                <patternFill>
                  <bgColor rgb="FF00B050"/>
                </patternFill>
              </fill>
            </x14:dxf>
          </x14:cfRule>
          <xm:sqref>D26:D29</xm:sqref>
        </x14:conditionalFormatting>
        <x14:conditionalFormatting xmlns:xm="http://schemas.microsoft.com/office/excel/2006/main">
          <x14:cfRule type="containsText" priority="11" operator="containsText" id="{03E7D105-51E1-46E6-A69E-607A0C0A2908}">
            <xm:f>NOT(ISERROR(SEARCH(Liste!$I$8,F39)))</xm:f>
            <xm:f>Liste!$I$8</xm:f>
            <x14:dxf>
              <font>
                <b/>
                <i val="0"/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12" operator="containsText" id="{9B2101BE-78A0-42F9-A450-9542E13E34EA}">
            <xm:f>NOT(ISERROR(SEARCH(Liste!$I$7,F39)))</xm:f>
            <xm:f>Liste!$I$7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3" operator="containsText" id="{31E0D45C-6C4C-4D08-A8BA-5216447A7EAD}">
            <xm:f>NOT(ISERROR(SEARCH(Liste!$I$6,F39)))</xm:f>
            <xm:f>Liste!$I$6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14" operator="containsText" id="{FA770947-70D4-4DC6-B030-5497C49CEEDD}">
            <xm:f>NOT(ISERROR(SEARCH(Liste!$I$5,F39)))</xm:f>
            <xm:f>Liste!$I$5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15" operator="containsText" id="{B13A66A1-D582-481A-A970-88C7D465D5DF}">
            <xm:f>NOT(ISERROR(SEARCH(Liste!$I$4,F39)))</xm:f>
            <xm:f>Liste!$I$4</xm:f>
            <x14:dxf>
              <font>
                <b/>
                <i val="0"/>
              </font>
              <fill>
                <patternFill>
                  <bgColor rgb="FF00B050"/>
                </patternFill>
              </fill>
            </x14:dxf>
          </x14:cfRule>
          <xm:sqref>F39:F42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12B07-49E4-4F38-981B-848018A8939A}">
  <dimension ref="B3:K15"/>
  <sheetViews>
    <sheetView workbookViewId="0">
      <selection activeCell="A2" sqref="A2"/>
    </sheetView>
  </sheetViews>
  <sheetFormatPr defaultColWidth="8.86328125" defaultRowHeight="14.25" x14ac:dyDescent="0.45"/>
  <cols>
    <col min="1" max="2" width="8.86328125" style="1"/>
    <col min="3" max="3" width="10.46484375" style="1" bestFit="1" customWidth="1"/>
    <col min="4" max="4" width="27.53125" style="1" customWidth="1"/>
    <col min="5" max="5" width="30.796875" style="1" customWidth="1"/>
    <col min="6" max="6" width="10.46484375" style="1" bestFit="1" customWidth="1"/>
    <col min="7" max="7" width="26.19921875" style="1" bestFit="1" customWidth="1"/>
    <col min="8" max="8" width="46.6640625" style="1" customWidth="1"/>
    <col min="9" max="9" width="11.33203125" style="1" bestFit="1" customWidth="1"/>
    <col min="10" max="10" width="38.6640625" style="1" customWidth="1"/>
    <col min="11" max="11" width="41.46484375" style="1" customWidth="1"/>
    <col min="12" max="16384" width="8.86328125" style="1"/>
  </cols>
  <sheetData>
    <row r="3" spans="2:11" s="8" customFormat="1" x14ac:dyDescent="0.45">
      <c r="B3" s="8" t="s">
        <v>27</v>
      </c>
      <c r="C3" s="8" t="s">
        <v>28</v>
      </c>
      <c r="D3" s="8" t="s">
        <v>49</v>
      </c>
      <c r="E3" s="8" t="s">
        <v>57</v>
      </c>
      <c r="F3" s="8" t="s">
        <v>73</v>
      </c>
      <c r="G3" s="8" t="s">
        <v>97</v>
      </c>
      <c r="H3" s="8" t="s">
        <v>118</v>
      </c>
      <c r="I3" s="8" t="s">
        <v>151</v>
      </c>
      <c r="J3" s="8" t="s">
        <v>157</v>
      </c>
      <c r="K3" s="8" t="s">
        <v>231</v>
      </c>
    </row>
    <row r="4" spans="2:11" ht="42.75" x14ac:dyDescent="0.45">
      <c r="B4" s="9" t="s">
        <v>25</v>
      </c>
      <c r="C4" s="9" t="s">
        <v>29</v>
      </c>
      <c r="D4" s="10"/>
      <c r="E4" s="9" t="s">
        <v>185</v>
      </c>
      <c r="F4" s="25" t="s">
        <v>74</v>
      </c>
      <c r="G4" s="10" t="s">
        <v>110</v>
      </c>
      <c r="H4" s="10" t="s">
        <v>140</v>
      </c>
      <c r="I4" s="10" t="s">
        <v>152</v>
      </c>
      <c r="J4" s="10" t="s">
        <v>158</v>
      </c>
      <c r="K4" s="10" t="s">
        <v>226</v>
      </c>
    </row>
    <row r="5" spans="2:11" ht="128.25" x14ac:dyDescent="0.45">
      <c r="B5" s="9" t="s">
        <v>26</v>
      </c>
      <c r="C5" s="9" t="s">
        <v>30</v>
      </c>
      <c r="D5" s="10" t="s">
        <v>50</v>
      </c>
      <c r="E5" s="9" t="s">
        <v>58</v>
      </c>
      <c r="F5" s="25" t="s">
        <v>75</v>
      </c>
      <c r="G5" s="10" t="s">
        <v>111</v>
      </c>
      <c r="H5" s="10" t="s">
        <v>141</v>
      </c>
      <c r="I5" s="10" t="s">
        <v>153</v>
      </c>
      <c r="J5" s="10" t="s">
        <v>159</v>
      </c>
      <c r="K5" s="10" t="s">
        <v>227</v>
      </c>
    </row>
    <row r="6" spans="2:11" ht="57" x14ac:dyDescent="0.45">
      <c r="C6" s="9" t="s">
        <v>31</v>
      </c>
      <c r="D6" s="10" t="s">
        <v>51</v>
      </c>
      <c r="E6" s="9" t="s">
        <v>59</v>
      </c>
      <c r="F6" s="25" t="s">
        <v>76</v>
      </c>
      <c r="G6" s="10" t="s">
        <v>112</v>
      </c>
      <c r="H6" s="10" t="s">
        <v>142</v>
      </c>
      <c r="I6" s="10" t="s">
        <v>154</v>
      </c>
      <c r="J6" s="10" t="s">
        <v>160</v>
      </c>
      <c r="K6" s="10" t="s">
        <v>228</v>
      </c>
    </row>
    <row r="7" spans="2:11" ht="28.5" x14ac:dyDescent="0.45">
      <c r="D7" s="10" t="s">
        <v>52</v>
      </c>
      <c r="F7" s="25" t="s">
        <v>77</v>
      </c>
      <c r="G7" s="10" t="s">
        <v>113</v>
      </c>
      <c r="H7" s="10" t="s">
        <v>143</v>
      </c>
      <c r="I7" s="10" t="s">
        <v>155</v>
      </c>
      <c r="J7" s="10" t="s">
        <v>161</v>
      </c>
      <c r="K7" s="10" t="s">
        <v>229</v>
      </c>
    </row>
    <row r="8" spans="2:11" ht="28.5" x14ac:dyDescent="0.45">
      <c r="D8" s="10" t="s">
        <v>53</v>
      </c>
      <c r="G8" s="10" t="s">
        <v>114</v>
      </c>
      <c r="H8" s="10" t="s">
        <v>144</v>
      </c>
      <c r="I8" s="10" t="s">
        <v>156</v>
      </c>
      <c r="J8" s="10" t="s">
        <v>162</v>
      </c>
      <c r="K8" s="10" t="s">
        <v>230</v>
      </c>
    </row>
    <row r="9" spans="2:11" ht="28.5" x14ac:dyDescent="0.45">
      <c r="D9" s="10" t="s">
        <v>55</v>
      </c>
      <c r="G9" s="10" t="s">
        <v>115</v>
      </c>
      <c r="H9" s="10" t="s">
        <v>145</v>
      </c>
    </row>
    <row r="10" spans="2:11" ht="42.75" x14ac:dyDescent="0.45">
      <c r="D10" s="10" t="s">
        <v>56</v>
      </c>
      <c r="G10" s="10" t="s">
        <v>116</v>
      </c>
      <c r="H10" s="10" t="s">
        <v>146</v>
      </c>
    </row>
    <row r="11" spans="2:11" ht="57" x14ac:dyDescent="0.45">
      <c r="D11" s="10" t="s">
        <v>177</v>
      </c>
      <c r="G11" s="10" t="s">
        <v>117</v>
      </c>
      <c r="H11" s="10" t="s">
        <v>147</v>
      </c>
    </row>
    <row r="12" spans="2:11" ht="28.5" x14ac:dyDescent="0.45">
      <c r="D12" s="10" t="s">
        <v>184</v>
      </c>
      <c r="G12" s="10" t="s">
        <v>118</v>
      </c>
      <c r="H12" s="10" t="s">
        <v>148</v>
      </c>
    </row>
    <row r="13" spans="2:11" ht="28.5" x14ac:dyDescent="0.45">
      <c r="D13" s="10" t="s">
        <v>54</v>
      </c>
      <c r="G13" s="10" t="s">
        <v>119</v>
      </c>
    </row>
    <row r="14" spans="2:11" x14ac:dyDescent="0.45">
      <c r="D14" s="10" t="s">
        <v>186</v>
      </c>
    </row>
    <row r="15" spans="2:11" x14ac:dyDescent="0.45">
      <c r="D15" s="10" t="s">
        <v>187</v>
      </c>
    </row>
  </sheetData>
  <sheetProtection algorithmName="SHA-512" hashValue="YHZV2y8wWJC08Q5pOpr671HeK9Q3piYt3rOkw3cHDugwrhHmBhrWgjewRo9kQUl7JixKrWZ/1/8937blYxV4lg==" saltValue="2DjsgzwHyBWNKIOfazdCng==" spinCount="100000" sheet="1" objects="1" scenarios="1" selectLockedCells="1" selectUnlockedCell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3</vt:i4>
      </vt:variant>
    </vt:vector>
  </HeadingPairs>
  <TitlesOfParts>
    <vt:vector size="9" baseType="lpstr">
      <vt:lpstr>ISTRUZIONI</vt:lpstr>
      <vt:lpstr>Dati</vt:lpstr>
      <vt:lpstr>STAMPA ISO</vt:lpstr>
      <vt:lpstr>STAMPA NIOSH</vt:lpstr>
      <vt:lpstr>Calcoli</vt:lpstr>
      <vt:lpstr>Liste</vt:lpstr>
      <vt:lpstr>'STAMPA ISO'!Area_stampa</vt:lpstr>
      <vt:lpstr>PRESA</vt:lpstr>
      <vt:lpstr>SN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 Pietro Signorello</dc:creator>
  <cp:lastModifiedBy>Vito Pietro Signorello</cp:lastModifiedBy>
  <cp:lastPrinted>2023-03-07T09:57:59Z</cp:lastPrinted>
  <dcterms:created xsi:type="dcterms:W3CDTF">2023-03-02T08:06:46Z</dcterms:created>
  <dcterms:modified xsi:type="dcterms:W3CDTF">2025-03-12T09:27:25Z</dcterms:modified>
</cp:coreProperties>
</file>